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C:\Users\user\Documents\Junior\partic\Cálculo de rescisão+\"/>
    </mc:Choice>
  </mc:AlternateContent>
  <bookViews>
    <workbookView showSheetTabs="0" xWindow="0" yWindow="0" windowWidth="22680" windowHeight="10320" tabRatio="0"/>
  </bookViews>
  <sheets>
    <sheet name="Menu" sheetId="4" r:id="rId1"/>
    <sheet name="menu_exp" sheetId="10" r:id="rId2"/>
    <sheet name="Pro" sheetId="13" r:id="rId3"/>
    <sheet name="mascara" sheetId="2" r:id="rId4"/>
    <sheet name="calculo" sheetId="1" r:id="rId5"/>
    <sheet name="seg aut" sheetId="12" r:id="rId6"/>
    <sheet name="masc_termino" sheetId="9" r:id="rId7"/>
    <sheet name="termin_exp" sheetId="8" r:id="rId8"/>
    <sheet name="masc_exp2" sheetId="7" r:id="rId9"/>
    <sheet name="exp2" sheetId="6" r:id="rId10"/>
    <sheet name="config" sheetId="11" r:id="rId11"/>
  </sheets>
  <definedNames>
    <definedName name="_xlnm.Print_Area" localSheetId="4">calculo!$C$1:$AF$62</definedName>
  </definedNames>
  <calcPr calcId="152511"/>
</workbook>
</file>

<file path=xl/calcChain.xml><?xml version="1.0" encoding="utf-8"?>
<calcChain xmlns="http://schemas.openxmlformats.org/spreadsheetml/2006/main">
  <c r="L4" i="12" l="1"/>
  <c r="N1" i="12"/>
  <c r="G10" i="1" l="1"/>
  <c r="X28" i="8"/>
  <c r="R28" i="8" s="1"/>
  <c r="X32" i="6"/>
  <c r="R32" i="6" s="1"/>
  <c r="M10" i="6"/>
  <c r="K36" i="1"/>
  <c r="Q10" i="1"/>
  <c r="M32" i="11"/>
  <c r="M33" i="11"/>
  <c r="M34" i="11"/>
  <c r="M35" i="11"/>
  <c r="M36" i="11"/>
  <c r="M37" i="11"/>
  <c r="M38" i="11"/>
  <c r="M39" i="11"/>
  <c r="M40" i="11"/>
  <c r="M41" i="11"/>
  <c r="M42" i="11"/>
  <c r="M43" i="11"/>
  <c r="M44" i="11"/>
  <c r="M45" i="11"/>
  <c r="M46" i="11"/>
  <c r="M47" i="11"/>
  <c r="M48" i="11"/>
  <c r="M49" i="11"/>
  <c r="M50" i="11"/>
  <c r="M51" i="11"/>
  <c r="M52" i="11"/>
  <c r="M31" i="11"/>
  <c r="AF24" i="1"/>
  <c r="AF30" i="1"/>
  <c r="AF28" i="1"/>
  <c r="AF26" i="1"/>
  <c r="A34" i="1"/>
  <c r="A32" i="1"/>
  <c r="A30" i="1"/>
  <c r="A28" i="1"/>
  <c r="A26" i="1"/>
  <c r="A24" i="1"/>
  <c r="AF22" i="1"/>
  <c r="A22" i="1"/>
  <c r="AF20" i="1"/>
  <c r="A20" i="1"/>
  <c r="A18" i="1"/>
  <c r="Z32" i="1" l="1"/>
  <c r="B21" i="12"/>
  <c r="M10" i="8"/>
  <c r="AF7" i="8" s="1"/>
  <c r="E10" i="8"/>
  <c r="AP28" i="1"/>
  <c r="AP31" i="1" s="1"/>
  <c r="AP30" i="1"/>
  <c r="AP29" i="1"/>
  <c r="AN21" i="1"/>
  <c r="S6" i="2"/>
  <c r="Q6" i="2"/>
  <c r="AH57" i="1"/>
  <c r="AI22" i="1"/>
  <c r="D36" i="1"/>
  <c r="R49" i="1"/>
  <c r="Y51" i="1" s="1"/>
  <c r="I34" i="11"/>
  <c r="I35" i="11" s="1"/>
  <c r="I36" i="11" s="1"/>
  <c r="I37" i="11" s="1"/>
  <c r="I38" i="11" s="1"/>
  <c r="I39" i="11" s="1"/>
  <c r="I40" i="11" s="1"/>
  <c r="I41" i="11" s="1"/>
  <c r="I42" i="11" s="1"/>
  <c r="I43" i="11" s="1"/>
  <c r="T32" i="1"/>
  <c r="T8" i="2"/>
  <c r="Q14" i="2"/>
  <c r="I45" i="11" l="1"/>
  <c r="I44" i="11"/>
  <c r="AJ14" i="1"/>
  <c r="AE3" i="8"/>
  <c r="AF3" i="8" s="1"/>
  <c r="I46" i="11"/>
  <c r="I47" i="11" s="1"/>
  <c r="I48" i="11" s="1"/>
  <c r="I49" i="11" s="1"/>
  <c r="I50" i="11" s="1"/>
  <c r="I51" i="11" s="1"/>
  <c r="I52" i="11" s="1"/>
  <c r="AH16" i="8"/>
  <c r="AH14" i="8"/>
  <c r="AG11" i="8"/>
  <c r="AF16" i="8"/>
  <c r="AH11" i="8"/>
  <c r="AE16" i="8"/>
  <c r="AG16" i="8" s="1"/>
  <c r="Y55" i="1"/>
  <c r="Y53" i="1"/>
  <c r="AI5" i="1"/>
  <c r="AK11" i="1"/>
  <c r="AI11" i="1"/>
  <c r="Q35" i="2"/>
  <c r="R35" i="2"/>
  <c r="P35" i="2"/>
  <c r="Z10" i="1"/>
  <c r="B6" i="12"/>
  <c r="F9" i="12"/>
  <c r="F7" i="12"/>
  <c r="H57" i="12"/>
  <c r="A57" i="12"/>
  <c r="K21" i="12"/>
  <c r="K22" i="12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L12" i="12"/>
  <c r="N11" i="12"/>
  <c r="M11" i="12"/>
  <c r="L11" i="12"/>
  <c r="K11" i="12"/>
  <c r="L10" i="12"/>
  <c r="K10" i="12"/>
  <c r="L7" i="12"/>
  <c r="B2" i="12"/>
  <c r="B1" i="12"/>
  <c r="Z14" i="1"/>
  <c r="Z15" i="1"/>
  <c r="B40" i="6"/>
  <c r="B39" i="8"/>
  <c r="D57" i="1"/>
  <c r="AA46" i="6"/>
  <c r="A46" i="6"/>
  <c r="AA4" i="6"/>
  <c r="B4" i="6"/>
  <c r="A24" i="7"/>
  <c r="N3" i="7"/>
  <c r="AA47" i="8"/>
  <c r="A47" i="8"/>
  <c r="AA4" i="8"/>
  <c r="B4" i="8"/>
  <c r="N3" i="9"/>
  <c r="N3" i="2"/>
  <c r="P15" i="1"/>
  <c r="O14" i="1"/>
  <c r="H7" i="1"/>
  <c r="D7" i="1"/>
  <c r="D6" i="1"/>
  <c r="G6" i="1"/>
  <c r="AC61" i="1"/>
  <c r="C61" i="1"/>
  <c r="AC4" i="1"/>
  <c r="D4" i="1"/>
  <c r="AI20" i="1"/>
  <c r="AI21" i="1"/>
  <c r="AI23" i="1"/>
  <c r="AH28" i="1"/>
  <c r="AI28" i="1" s="1"/>
  <c r="AJ28" i="1"/>
  <c r="AK28" i="1"/>
  <c r="AH29" i="1"/>
  <c r="AI29" i="1" s="1"/>
  <c r="AJ29" i="1"/>
  <c r="AK29" i="1"/>
  <c r="AH30" i="1"/>
  <c r="AI30" i="1" s="1"/>
  <c r="AJ30" i="1"/>
  <c r="AK30" i="1"/>
  <c r="AH31" i="1"/>
  <c r="AI31" i="1" s="1"/>
  <c r="AJ31" i="1"/>
  <c r="AK31" i="1"/>
  <c r="AJ32" i="1"/>
  <c r="AK32" i="1"/>
  <c r="AI33" i="1"/>
  <c r="AH44" i="1"/>
  <c r="AI44" i="1"/>
  <c r="AH45" i="1"/>
  <c r="AI45" i="1"/>
  <c r="A24" i="9"/>
  <c r="A45" i="2"/>
  <c r="A24" i="10"/>
  <c r="S39" i="2"/>
  <c r="N12" i="9"/>
  <c r="S20" i="9"/>
  <c r="S20" i="7"/>
  <c r="G84" i="11"/>
  <c r="F83" i="11"/>
  <c r="F74" i="11"/>
  <c r="F73" i="11"/>
  <c r="H64" i="11"/>
  <c r="F63" i="11"/>
  <c r="F62" i="11"/>
  <c r="F61" i="11"/>
  <c r="AE47" i="6"/>
  <c r="AD47" i="6"/>
  <c r="AE46" i="6"/>
  <c r="AD46" i="6"/>
  <c r="AE35" i="6"/>
  <c r="AF35" i="6" s="1"/>
  <c r="AG32" i="6"/>
  <c r="AF32" i="6"/>
  <c r="AG31" i="6"/>
  <c r="AF31" i="6"/>
  <c r="AD31" i="6"/>
  <c r="AE31" i="6" s="1"/>
  <c r="AG30" i="6"/>
  <c r="AF30" i="6"/>
  <c r="AD30" i="6"/>
  <c r="AE30" i="6" s="1"/>
  <c r="AG29" i="6"/>
  <c r="AF29" i="6"/>
  <c r="AD29" i="6"/>
  <c r="AE29" i="6" s="1"/>
  <c r="AG28" i="6"/>
  <c r="AF28" i="6"/>
  <c r="AD28" i="6"/>
  <c r="AE28" i="6" s="1"/>
  <c r="AE22" i="6"/>
  <c r="AE23" i="6" s="1"/>
  <c r="AE21" i="6"/>
  <c r="AH22" i="6" s="1"/>
  <c r="AE20" i="6"/>
  <c r="AH20" i="6" s="1"/>
  <c r="AE47" i="8"/>
  <c r="AD47" i="8"/>
  <c r="AE46" i="8"/>
  <c r="AD46" i="8"/>
  <c r="AE22" i="8"/>
  <c r="AH23" i="8" s="1"/>
  <c r="AE21" i="8"/>
  <c r="AH22" i="8" s="1"/>
  <c r="AE20" i="8"/>
  <c r="AH21" i="8" s="1"/>
  <c r="AE35" i="8"/>
  <c r="AF35" i="8" s="1"/>
  <c r="AG34" i="8"/>
  <c r="AF34" i="8"/>
  <c r="AG33" i="8"/>
  <c r="AF33" i="8"/>
  <c r="AD33" i="8"/>
  <c r="AE33" i="8" s="1"/>
  <c r="AG32" i="8"/>
  <c r="AF32" i="8"/>
  <c r="AD32" i="8"/>
  <c r="AE32" i="8" s="1"/>
  <c r="AG31" i="8"/>
  <c r="AF31" i="8"/>
  <c r="AD31" i="8"/>
  <c r="AE31" i="8" s="1"/>
  <c r="AG30" i="8"/>
  <c r="AF30" i="8"/>
  <c r="AD30" i="8"/>
  <c r="AE30" i="8" s="1"/>
  <c r="Z83" i="11"/>
  <c r="V82" i="11"/>
  <c r="R12" i="7"/>
  <c r="A15" i="7" s="1"/>
  <c r="Z14" i="8"/>
  <c r="M14" i="8"/>
  <c r="U10" i="8"/>
  <c r="AE14" i="8" s="1"/>
  <c r="X10" i="6"/>
  <c r="Z14" i="6"/>
  <c r="M14" i="6"/>
  <c r="E12" i="6"/>
  <c r="AE13" i="6" s="1"/>
  <c r="E10" i="6"/>
  <c r="AE3" i="6" s="1"/>
  <c r="AF3" i="6" s="1"/>
  <c r="O8" i="6"/>
  <c r="K8" i="1"/>
  <c r="AJ7" i="1" s="1"/>
  <c r="AK7" i="1" s="1"/>
  <c r="H12" i="1"/>
  <c r="K14" i="1"/>
  <c r="AF10" i="8"/>
  <c r="AG10" i="8" s="1"/>
  <c r="L53" i="11" l="1"/>
  <c r="E20" i="8"/>
  <c r="M22" i="8"/>
  <c r="E20" i="6"/>
  <c r="M22" i="6"/>
  <c r="AF16" i="6"/>
  <c r="AE16" i="6" s="1"/>
  <c r="AF17" i="6"/>
  <c r="AM7" i="1"/>
  <c r="AL7" i="1" s="1"/>
  <c r="K12" i="12"/>
  <c r="AI14" i="1"/>
  <c r="AE14" i="6"/>
  <c r="N36" i="8"/>
  <c r="AF7" i="6"/>
  <c r="AI18" i="6" s="1"/>
  <c r="M38" i="6"/>
  <c r="S38" i="6" s="1"/>
  <c r="AG13" i="6"/>
  <c r="AH16" i="6"/>
  <c r="S12" i="7"/>
  <c r="AF11" i="8"/>
  <c r="AE11" i="8" s="1"/>
  <c r="AJ33" i="1"/>
  <c r="AN6" i="1"/>
  <c r="AO6" i="1" s="1"/>
  <c r="AM6" i="1" s="1"/>
  <c r="AI13" i="1"/>
  <c r="Z26" i="1" s="1"/>
  <c r="T26" i="1" s="1"/>
  <c r="AG8" i="8"/>
  <c r="AF8" i="8" s="1"/>
  <c r="AH8" i="8" s="1"/>
  <c r="AE8" i="8" s="1"/>
  <c r="AE13" i="8"/>
  <c r="AL49" i="1"/>
  <c r="AI50" i="1"/>
  <c r="AJ50" i="1" s="1"/>
  <c r="AJ44" i="1"/>
  <c r="AI8" i="8"/>
  <c r="AE6" i="6"/>
  <c r="AF47" i="8"/>
  <c r="AE23" i="8"/>
  <c r="AH20" i="8"/>
  <c r="AH24" i="8" s="1"/>
  <c r="AH21" i="6"/>
  <c r="AH24" i="6" s="1"/>
  <c r="AH23" i="6"/>
  <c r="AE18" i="8"/>
  <c r="AF18" i="8" s="1"/>
  <c r="AJ18" i="8" s="1"/>
  <c r="AG6" i="8"/>
  <c r="F18" i="8" s="1"/>
  <c r="AG6" i="6"/>
  <c r="F18" i="6" s="1"/>
  <c r="H18" i="6" s="1"/>
  <c r="AE6" i="8"/>
  <c r="AF46" i="8"/>
  <c r="AI18" i="8"/>
  <c r="AE10" i="8"/>
  <c r="AE9" i="8"/>
  <c r="AF9" i="8" s="1"/>
  <c r="AF46" i="6"/>
  <c r="O10" i="12"/>
  <c r="O11" i="12" s="1"/>
  <c r="O12" i="12" s="1"/>
  <c r="AE5" i="6"/>
  <c r="I26" i="6" s="1"/>
  <c r="B26" i="6" s="1"/>
  <c r="AE9" i="6"/>
  <c r="AF9" i="6" s="1"/>
  <c r="X26" i="6"/>
  <c r="AF47" i="6"/>
  <c r="AI8" i="6"/>
  <c r="AJ45" i="1"/>
  <c r="AE18" i="6" l="1"/>
  <c r="AG8" i="6"/>
  <c r="AJ8" i="6" s="1"/>
  <c r="N22" i="8"/>
  <c r="R26" i="6"/>
  <c r="AG12" i="6"/>
  <c r="AE12" i="6" s="1"/>
  <c r="AE17" i="6"/>
  <c r="AG16" i="6"/>
  <c r="G20" i="6" s="1"/>
  <c r="AN7" i="1"/>
  <c r="I18" i="6"/>
  <c r="X24" i="6" s="1"/>
  <c r="R24" i="6" s="1"/>
  <c r="AG46" i="6"/>
  <c r="AF10" i="6"/>
  <c r="AG10" i="6" s="1"/>
  <c r="AE10" i="6" s="1"/>
  <c r="AJ8" i="8"/>
  <c r="AM8" i="1"/>
  <c r="AG47" i="6"/>
  <c r="AG46" i="8"/>
  <c r="I22" i="8"/>
  <c r="AF23" i="8" s="1"/>
  <c r="AG18" i="8"/>
  <c r="AH18" i="8" s="1"/>
  <c r="AG47" i="8"/>
  <c r="G20" i="8"/>
  <c r="I20" i="8"/>
  <c r="I18" i="8"/>
  <c r="H18" i="8"/>
  <c r="AK18" i="8"/>
  <c r="AF18" i="6"/>
  <c r="AG18" i="6"/>
  <c r="AF8" i="6" l="1"/>
  <c r="AH8" i="6" s="1"/>
  <c r="AE8" i="6" s="1"/>
  <c r="I28" i="6"/>
  <c r="B28" i="6" s="1"/>
  <c r="AF12" i="6"/>
  <c r="I22" i="6"/>
  <c r="AH12" i="6"/>
  <c r="AI12" i="6" s="1"/>
  <c r="I20" i="6"/>
  <c r="B20" i="6" s="1"/>
  <c r="I24" i="8"/>
  <c r="B24" i="8" s="1"/>
  <c r="AF22" i="8"/>
  <c r="B22" i="8"/>
  <c r="I26" i="8"/>
  <c r="B26" i="8" s="1"/>
  <c r="AF20" i="8"/>
  <c r="AF21" i="8"/>
  <c r="AG22" i="8"/>
  <c r="X24" i="8"/>
  <c r="R24" i="8" s="1"/>
  <c r="B20" i="8"/>
  <c r="AJ18" i="6"/>
  <c r="AK18" i="6" s="1"/>
  <c r="AH18" i="6"/>
  <c r="AF23" i="6" l="1"/>
  <c r="AF22" i="6"/>
  <c r="AF21" i="6"/>
  <c r="I24" i="6"/>
  <c r="AG23" i="6" s="1"/>
  <c r="N22" i="6"/>
  <c r="AF20" i="6"/>
  <c r="B22" i="6"/>
  <c r="H32" i="8"/>
  <c r="AG20" i="8"/>
  <c r="AG23" i="8"/>
  <c r="AG21" i="8"/>
  <c r="AF24" i="8"/>
  <c r="X20" i="8" s="1"/>
  <c r="AE36" i="8" s="1"/>
  <c r="AH33" i="8" s="1"/>
  <c r="AG21" i="6"/>
  <c r="AG20" i="6" l="1"/>
  <c r="AG22" i="6"/>
  <c r="B24" i="6"/>
  <c r="H34" i="6"/>
  <c r="AF24" i="6"/>
  <c r="X20" i="6" s="1"/>
  <c r="AE36" i="6" s="1"/>
  <c r="AG24" i="8"/>
  <c r="X22" i="8" s="1"/>
  <c r="AE37" i="8" s="1"/>
  <c r="AI33" i="8" s="1"/>
  <c r="R20" i="8"/>
  <c r="AH34" i="8"/>
  <c r="AH32" i="8"/>
  <c r="AH31" i="8"/>
  <c r="AG24" i="6" l="1"/>
  <c r="X22" i="6" s="1"/>
  <c r="R22" i="6" s="1"/>
  <c r="R20" i="6"/>
  <c r="R22" i="8"/>
  <c r="AI34" i="8"/>
  <c r="AI31" i="8"/>
  <c r="AI32" i="8"/>
  <c r="X30" i="8"/>
  <c r="R30" i="8" s="1"/>
  <c r="AH31" i="6"/>
  <c r="AH30" i="6"/>
  <c r="AH29" i="6"/>
  <c r="AH32" i="6"/>
  <c r="AE37" i="6" l="1"/>
  <c r="AI30" i="6" s="1"/>
  <c r="X26" i="8"/>
  <c r="W32" i="8" s="1"/>
  <c r="N34" i="8" s="1"/>
  <c r="X30" i="6"/>
  <c r="AI6" i="1"/>
  <c r="AI9" i="1"/>
  <c r="AJ9" i="1" s="1"/>
  <c r="AK6" i="1"/>
  <c r="H20" i="1" s="1"/>
  <c r="J20" i="1" s="1"/>
  <c r="AI29" i="6" l="1"/>
  <c r="AI31" i="6"/>
  <c r="AI32" i="6"/>
  <c r="R30" i="6"/>
  <c r="R26" i="8"/>
  <c r="K20" i="1"/>
  <c r="AK45" i="1"/>
  <c r="AK44" i="1"/>
  <c r="X28" i="6" l="1"/>
  <c r="K32" i="1"/>
  <c r="D32" i="1" s="1"/>
  <c r="AL20" i="1"/>
  <c r="AL23" i="1"/>
  <c r="D20" i="1"/>
  <c r="AN23" i="1"/>
  <c r="AH56" i="1"/>
  <c r="W34" i="6" l="1"/>
  <c r="S36" i="6" s="1"/>
  <c r="R28" i="6"/>
  <c r="Z24" i="1"/>
  <c r="T24" i="1" s="1"/>
  <c r="AL8" i="1"/>
  <c r="AN8" i="1" s="1"/>
  <c r="AK8" i="1" s="1"/>
  <c r="AI8" i="1" s="1"/>
  <c r="AP8" i="1" l="1"/>
  <c r="O34" i="1" s="1"/>
  <c r="P34" i="1" s="1"/>
  <c r="AJ8" i="1"/>
  <c r="AM11" i="1" s="1"/>
  <c r="K34" i="1" l="1"/>
  <c r="D34" i="1" s="1"/>
  <c r="P10" i="2"/>
  <c r="T12" i="2"/>
  <c r="O18" i="1" s="1"/>
  <c r="K16" i="2"/>
  <c r="K28" i="1" s="1"/>
  <c r="K30" i="1" l="1"/>
  <c r="D30" i="1" s="1"/>
  <c r="D28" i="1"/>
  <c r="K18" i="1"/>
  <c r="Q10" i="2"/>
  <c r="N12" i="2"/>
  <c r="N10" i="2"/>
  <c r="AI7" i="1"/>
  <c r="Z11" i="1" s="1"/>
  <c r="AI4" i="1" l="1"/>
  <c r="K38" i="1" s="1"/>
  <c r="D38" i="1" s="1"/>
  <c r="AI48" i="1"/>
  <c r="AJ48" i="1" s="1"/>
  <c r="P18" i="1"/>
  <c r="AK14" i="1"/>
  <c r="AJ16" i="1" s="1"/>
  <c r="AJ10" i="1"/>
  <c r="AK10" i="1" s="1"/>
  <c r="AI10" i="1" s="1"/>
  <c r="AJ12" i="1" l="1"/>
  <c r="AI12" i="1" s="1"/>
  <c r="O24" i="1" s="1"/>
  <c r="P24" i="1" s="1"/>
  <c r="AL14" i="1"/>
  <c r="AI16" i="1"/>
  <c r="AK16" i="1" s="1"/>
  <c r="AN22" i="1"/>
  <c r="AN24" i="1" s="1"/>
  <c r="D18" i="1"/>
  <c r="F11" i="12"/>
  <c r="AJ53" i="1"/>
  <c r="AI49" i="1"/>
  <c r="AJ49" i="1" s="1"/>
  <c r="AJ51" i="1" s="1"/>
  <c r="AI51" i="1" s="1"/>
  <c r="AL50" i="1"/>
  <c r="L5" i="12" l="1"/>
  <c r="L6" i="12"/>
  <c r="N6" i="12"/>
  <c r="G22" i="1"/>
  <c r="K22" i="1" s="1"/>
  <c r="AJ22" i="1"/>
  <c r="AL22" i="1"/>
  <c r="AL21" i="1"/>
  <c r="K24" i="1"/>
  <c r="K26" i="1" s="1"/>
  <c r="AJ20" i="1"/>
  <c r="AJ23" i="1"/>
  <c r="AJ21" i="1"/>
  <c r="B21" i="2"/>
  <c r="M6" i="12"/>
  <c r="Z51" i="1"/>
  <c r="AL51" i="1"/>
  <c r="AK51" i="1"/>
  <c r="AL24" i="1" l="1"/>
  <c r="AJ24" i="1"/>
  <c r="Z53" i="1"/>
  <c r="Z55" i="1" s="1"/>
  <c r="AM49" i="1"/>
  <c r="D24" i="1"/>
  <c r="D26" i="1"/>
  <c r="I22" i="1"/>
  <c r="D15" i="12" l="1"/>
  <c r="O13" i="12"/>
  <c r="Z20" i="1"/>
  <c r="T20" i="1" s="1"/>
  <c r="AK23" i="1"/>
  <c r="AK20" i="1"/>
  <c r="D22" i="1"/>
  <c r="AK22" i="1"/>
  <c r="AK21" i="1"/>
  <c r="D19" i="12" l="1"/>
  <c r="D17" i="12"/>
  <c r="F17" i="12"/>
  <c r="F19" i="12" s="1"/>
  <c r="AI34" i="1"/>
  <c r="AK24" i="1"/>
  <c r="J51" i="1" l="1"/>
  <c r="D55" i="1" s="1"/>
  <c r="D49" i="1"/>
  <c r="D51" i="1"/>
  <c r="AL30" i="1"/>
  <c r="AL32" i="1"/>
  <c r="AL31" i="1"/>
  <c r="AL29" i="1"/>
  <c r="Z22" i="1"/>
  <c r="AI35" i="1" s="1"/>
  <c r="AN32" i="1"/>
  <c r="AN29" i="1"/>
  <c r="AN31" i="1"/>
  <c r="AN30" i="1"/>
  <c r="J53" i="1"/>
  <c r="D53" i="1"/>
  <c r="J44" i="1"/>
  <c r="Z30" i="1" l="1"/>
  <c r="T30" i="1" s="1"/>
  <c r="T22" i="1"/>
  <c r="AM30" i="1"/>
  <c r="AM32" i="1"/>
  <c r="AM31" i="1"/>
  <c r="AM29" i="1"/>
  <c r="Z28" i="1" l="1"/>
  <c r="T28" i="1" s="1"/>
  <c r="Y44" i="1" l="1"/>
  <c r="Z46" i="1" s="1"/>
</calcChain>
</file>

<file path=xl/sharedStrings.xml><?xml version="1.0" encoding="utf-8"?>
<sst xmlns="http://schemas.openxmlformats.org/spreadsheetml/2006/main" count="419" uniqueCount="239">
  <si>
    <t>Descontos</t>
  </si>
  <si>
    <t>TOTAL DESC.: R$</t>
  </si>
  <si>
    <t>Admissão:</t>
  </si>
  <si>
    <t>Saída:</t>
  </si>
  <si>
    <t>Anos trabalhados</t>
  </si>
  <si>
    <t>ano atual</t>
  </si>
  <si>
    <t>Meses trabalhados no ano</t>
  </si>
  <si>
    <t>Férias proporcionais</t>
  </si>
  <si>
    <t>dias</t>
  </si>
  <si>
    <t>Saldo salário:</t>
  </si>
  <si>
    <t>valor dia</t>
  </si>
  <si>
    <t>Valor mês</t>
  </si>
  <si>
    <t>até</t>
  </si>
  <si>
    <t>teto</t>
  </si>
  <si>
    <t>INSS</t>
  </si>
  <si>
    <t>valores</t>
  </si>
  <si>
    <t>Prcentagem/valor</t>
  </si>
  <si>
    <t>porcentagem saldo</t>
  </si>
  <si>
    <t>Porc 13º</t>
  </si>
  <si>
    <t>IPRF</t>
  </si>
  <si>
    <t>Alíquota</t>
  </si>
  <si>
    <t>Parcela a deduzir</t>
  </si>
  <si>
    <t>Base, até</t>
  </si>
  <si>
    <t>acima</t>
  </si>
  <si>
    <t>Nº dependentes no Imposto de renda:</t>
  </si>
  <si>
    <t>salário líquido</t>
  </si>
  <si>
    <t>13º liquido</t>
  </si>
  <si>
    <t>dedução por dependente</t>
  </si>
  <si>
    <t>IPRF Salário</t>
  </si>
  <si>
    <t>IPRF 13º</t>
  </si>
  <si>
    <t>sim</t>
  </si>
  <si>
    <t>não</t>
  </si>
  <si>
    <t>Possui férias vencidas:</t>
  </si>
  <si>
    <t>Data saída  aviso</t>
  </si>
  <si>
    <t>Motivo do Afastamento:</t>
  </si>
  <si>
    <t>afastamento</t>
  </si>
  <si>
    <t>Dispensa sem justa causa</t>
  </si>
  <si>
    <t>Pedido de demissão</t>
  </si>
  <si>
    <t>sim ou não</t>
  </si>
  <si>
    <t>dia</t>
  </si>
  <si>
    <t>Valor do benefício por filho de até 14 anos incompletos ou inválido</t>
  </si>
  <si>
    <t>Faixa Salarial Até</t>
  </si>
  <si>
    <t>N º de filhos no salário família:</t>
  </si>
  <si>
    <t>Nº de pendentes no Imposto de renda:</t>
  </si>
  <si>
    <t>valor</t>
  </si>
  <si>
    <t>valor proporcional</t>
  </si>
  <si>
    <t>TOTAL A RECEBER: R$</t>
  </si>
  <si>
    <t>TOTAL BRUTO:</t>
  </si>
  <si>
    <t>dd/mm/aaaa (data do último dia trabalhado na empresa)</t>
  </si>
  <si>
    <t>saldo de dias trabalhados</t>
  </si>
  <si>
    <t>Dias para 13º</t>
  </si>
  <si>
    <t>meses 13º</t>
  </si>
  <si>
    <t>13.o Salario</t>
  </si>
  <si>
    <t>dd/mm/aaaa (data do registro na carteira)</t>
  </si>
  <si>
    <t>13º</t>
  </si>
  <si>
    <t>meses no ano</t>
  </si>
  <si>
    <t>calculo de meses no ano</t>
  </si>
  <si>
    <t>13º indenizado</t>
  </si>
  <si>
    <t>Cálculo de seguro desemprego</t>
  </si>
  <si>
    <t>data de saída para calculo</t>
  </si>
  <si>
    <t>meses</t>
  </si>
  <si>
    <t>Salário:</t>
  </si>
  <si>
    <t>Data de admissão:</t>
  </si>
  <si>
    <t>Faixas de salário</t>
  </si>
  <si>
    <t>cálculo</t>
  </si>
  <si>
    <t>resultado</t>
  </si>
  <si>
    <t>total</t>
  </si>
  <si>
    <t>meses trabalhados</t>
  </si>
  <si>
    <t>parcelas a receber</t>
  </si>
  <si>
    <t>Como requerer?</t>
  </si>
  <si>
    <t>   Comparecer em um dos locais acima citados levando os seguintes documentos:</t>
  </si>
  <si>
    <r>
      <t>·</t>
    </r>
    <r>
      <rPr>
        <sz val="10"/>
        <color indexed="8"/>
        <rFont val="Franklin Gothic Book"/>
        <family val="2"/>
      </rPr>
      <t> </t>
    </r>
    <r>
      <rPr>
        <sz val="10"/>
        <color indexed="8"/>
        <rFont val="Arial"/>
        <family val="2"/>
      </rPr>
      <t>Comunicação de Dispensa - CD (via marrom) e Requerimento do Seguro-Desemprego - SD (via verde);</t>
    </r>
  </si>
  <si>
    <r>
      <t>·</t>
    </r>
    <r>
      <rPr>
        <sz val="10"/>
        <color indexed="8"/>
        <rFont val="Franklin Gothic Book"/>
        <family val="2"/>
      </rPr>
      <t> </t>
    </r>
    <r>
      <rPr>
        <sz val="10"/>
        <color indexed="8"/>
        <rFont val="Arial"/>
        <family val="2"/>
      </rPr>
      <t>Termo de Rescisão de Contrato de Trabalho - TRCT;</t>
    </r>
  </si>
  <si>
    <r>
      <t>·</t>
    </r>
    <r>
      <rPr>
        <sz val="10"/>
        <color indexed="8"/>
        <rFont val="Franklin Gothic Book"/>
        <family val="2"/>
      </rPr>
      <t> </t>
    </r>
    <r>
      <rPr>
        <sz val="10"/>
        <color indexed="8"/>
        <rFont val="Arial"/>
        <family val="2"/>
      </rPr>
      <t>Carteira de Trabalho;</t>
    </r>
  </si>
  <si>
    <r>
      <t>De acordo com informações informandas, você não tem direito ao benefício</t>
    </r>
    <r>
      <rPr>
        <b/>
        <sz val="10"/>
        <color indexed="8"/>
        <rFont val="Calibri"/>
        <family val="2"/>
      </rPr>
      <t xml:space="preserve"> </t>
    </r>
  </si>
  <si>
    <r>
      <t>·</t>
    </r>
    <r>
      <rPr>
        <sz val="10"/>
        <color indexed="8"/>
        <rFont val="Franklin Gothic Book"/>
        <family val="2"/>
      </rPr>
      <t> </t>
    </r>
    <r>
      <rPr>
        <sz val="10"/>
        <color indexed="8"/>
        <rFont val="Arial"/>
        <family val="2"/>
      </rPr>
      <t>Carteira de Identidade ou Certidão de Nascimento ou Certidão de Casamento com Protocolo de requerimento na Carteira de Identidade, ou Carteira Nacional de Habilitação - CNH, dentro do prazo de validade, ou Passaporte, ou Certificado de Reservista;</t>
    </r>
  </si>
  <si>
    <r>
      <t>·</t>
    </r>
    <r>
      <rPr>
        <sz val="10"/>
        <color indexed="8"/>
        <rFont val="Franklin Gothic Book"/>
        <family val="2"/>
      </rPr>
      <t> </t>
    </r>
    <r>
      <rPr>
        <sz val="10"/>
        <color indexed="8"/>
        <rFont val="Arial"/>
        <family val="2"/>
      </rPr>
      <t>Comprovante de inscrição no PIS/PASEP;</t>
    </r>
  </si>
  <si>
    <r>
      <t>·</t>
    </r>
    <r>
      <rPr>
        <sz val="10"/>
        <color indexed="8"/>
        <rFont val="Franklin Gothic Book"/>
        <family val="2"/>
      </rPr>
      <t> </t>
    </r>
    <r>
      <rPr>
        <sz val="10"/>
        <color indexed="8"/>
        <rFont val="Arial"/>
        <family val="2"/>
      </rPr>
      <t>Documento de levantamento dos depósitos no FGTS ou extrato comprobatório dos depósitos;</t>
    </r>
  </si>
  <si>
    <r>
      <t>·</t>
    </r>
    <r>
      <rPr>
        <sz val="10"/>
        <color indexed="8"/>
        <rFont val="Franklin Gothic Book"/>
        <family val="2"/>
      </rPr>
      <t> </t>
    </r>
    <r>
      <rPr>
        <sz val="10"/>
        <color indexed="8"/>
        <rFont val="Arial"/>
        <family val="2"/>
      </rPr>
      <t>Cadastro Pessoa Física - CPF;</t>
    </r>
  </si>
  <si>
    <r>
      <t>·</t>
    </r>
    <r>
      <rPr>
        <sz val="10"/>
        <color indexed="8"/>
        <rFont val="Franklin Gothic Book"/>
        <family val="2"/>
      </rPr>
      <t> </t>
    </r>
    <r>
      <rPr>
        <sz val="10"/>
        <color indexed="8"/>
        <rFont val="Arial"/>
        <family val="2"/>
      </rPr>
      <t>Comprovante dos 2 últimos contracheques ou recibos de pagamento para o trabalhador formal (não é documentação obrigatória)</t>
    </r>
  </si>
  <si>
    <t>Onde Receber?</t>
  </si>
  <si>
    <t>   Em qualquer Agência da CAIXA, ou Casa Lotérica ou Correspondente Bancário (CAIXA AQUI) ou Auto-Atendimento (CAIXA AZUL 24 HORAS).</t>
  </si>
  <si>
    <t>   O pagamento nas Lotéricas, nos Correspondentes Bancários ou no Auto-Atendimento somente é realizado com o Cartão do Cidadão.</t>
  </si>
  <si>
    <t>Rescisão antecipada do contrato de experiência por iniciativa do empregador</t>
  </si>
  <si>
    <t>Rescisão antecipada do contrato de experiência por iniciativa do empregado</t>
  </si>
  <si>
    <t>Dias de multa para termino contrato</t>
  </si>
  <si>
    <t>Contrato de experiência de quantos dias?</t>
  </si>
  <si>
    <t>máximo 90 dias</t>
  </si>
  <si>
    <t>Rescisão antecipada do contrato de experiência:</t>
  </si>
  <si>
    <t>Término do contrato:</t>
  </si>
  <si>
    <t>Base de Calculo - Rescisão de Contrato de Experiência</t>
  </si>
  <si>
    <t>Nº de filhos com salário famlía:</t>
  </si>
  <si>
    <t>Término de Contrado de Experiência</t>
  </si>
  <si>
    <t>Término de Contrato de Experiência - Rescisão</t>
  </si>
  <si>
    <t>Contrato de</t>
  </si>
  <si>
    <t>Cálculo de rescisão de contrato de experiência</t>
  </si>
  <si>
    <t>Imposto de renda na fonte</t>
  </si>
  <si>
    <t>Base de cálculo (R$)</t>
  </si>
  <si>
    <t>de</t>
  </si>
  <si>
    <t>Acima de</t>
  </si>
  <si>
    <t>Alíquota (%)</t>
  </si>
  <si>
    <t>Parcela a deduzir do imposto (R$)</t>
  </si>
  <si>
    <t>Salário</t>
  </si>
  <si>
    <t>Tabela de desconto de INSS</t>
  </si>
  <si>
    <t>Alíquota para fins de recolhimento (%)</t>
  </si>
  <si>
    <t>Tabela para cálculo do benefício Seguro Desemprego</t>
  </si>
  <si>
    <t>Faixas de salário médio</t>
  </si>
  <si>
    <t>acima de</t>
  </si>
  <si>
    <t>Valor da parcela</t>
  </si>
  <si>
    <t>Multiplica-se salário médio por</t>
  </si>
  <si>
    <t>O que exceder a</t>
  </si>
  <si>
    <t>multiplica-se por</t>
  </si>
  <si>
    <t>e soma-se a</t>
  </si>
  <si>
    <t>O valor da parcela será de</t>
  </si>
  <si>
    <t>invariavelmente</t>
  </si>
  <si>
    <t>Configuração</t>
  </si>
  <si>
    <t>Configuração para cálculos rescisórios</t>
  </si>
  <si>
    <t>Valor do Salário Mínimo:</t>
  </si>
  <si>
    <t>Dedução por dependente:</t>
  </si>
  <si>
    <t>Tabela de salário família</t>
  </si>
  <si>
    <t>Faixa Salarial</t>
  </si>
  <si>
    <t>Valor da cota por filho menor de 14 anos</t>
  </si>
  <si>
    <t>Salário mínimo</t>
  </si>
  <si>
    <t>Cálculo básico de rescisão de contrato de trabalho e seguro desemprego</t>
  </si>
  <si>
    <t>Nº de filhos menores de 14 anos ,para salários até:</t>
  </si>
  <si>
    <t>Nº de filhos menores de 14 anos, para salários até</t>
  </si>
  <si>
    <t>Sim</t>
  </si>
  <si>
    <t>Não</t>
  </si>
  <si>
    <t>Total de dias trabalhados</t>
  </si>
  <si>
    <t>Total de dias trabalhados no mes</t>
  </si>
  <si>
    <t>Saldo de dias trabalhados no mes</t>
  </si>
  <si>
    <t>Base de cálculos trabalhistas - Comércio do estado de São Paulo</t>
  </si>
  <si>
    <t>Base de cálculo demissional</t>
  </si>
  <si>
    <t>Dados do Sindicato</t>
  </si>
  <si>
    <t>Nome Fantasia:</t>
  </si>
  <si>
    <t>Razão Social:</t>
  </si>
  <si>
    <t>Endereço completo:</t>
  </si>
  <si>
    <t>Telefones:</t>
  </si>
  <si>
    <t>Site:</t>
  </si>
  <si>
    <t>E-mail:</t>
  </si>
  <si>
    <t>Trabalhador:</t>
  </si>
  <si>
    <t>Empresa:</t>
  </si>
  <si>
    <t>Informação/Nota do rodapé</t>
  </si>
  <si>
    <t>Possui uma férias vencidas:</t>
  </si>
  <si>
    <t>por parte da empresa</t>
  </si>
  <si>
    <t>por parte do trabalhador</t>
  </si>
  <si>
    <t>Aviso prévio proporcional além da lei. N 12.506</t>
  </si>
  <si>
    <t>Existe o benefício?</t>
  </si>
  <si>
    <t>A partir de que idade?</t>
  </si>
  <si>
    <t>Anos de trabalho na empresa</t>
  </si>
  <si>
    <t>Dias de acréscimo no aviso</t>
  </si>
  <si>
    <t>Aos empregados com certa idade e certo tempo de contrato de trabalho na mesma empresa, dispensados sem justa causa, o aviso prévio terá acréscimo?</t>
  </si>
  <si>
    <t>Dias no aviso pela idade</t>
  </si>
  <si>
    <t>resultado:</t>
  </si>
  <si>
    <t>Anos a serem trabalhados:</t>
  </si>
  <si>
    <t>Data do último dia trabalhado:</t>
  </si>
  <si>
    <t>Data do aviso:</t>
  </si>
  <si>
    <t>dd/mm/aaaa</t>
  </si>
  <si>
    <t>Dias além da lei 12.506</t>
  </si>
  <si>
    <r>
      <t xml:space="preserve">Os empregados dispensandos sem justa causa terão direito de 01 (um) dia </t>
    </r>
    <r>
      <rPr>
        <u/>
        <sz val="11"/>
        <color theme="1"/>
        <rFont val="Calibri"/>
        <family val="2"/>
        <scheme val="minor"/>
      </rPr>
      <t>em pecúnia</t>
    </r>
    <r>
      <rPr>
        <sz val="11"/>
        <color theme="1"/>
        <rFont val="Calibri"/>
        <family val="2"/>
        <scheme val="minor"/>
      </rPr>
      <t>, no aviso prévio legal, por ano completo de serviço na mesma empresa? (</t>
    </r>
    <r>
      <rPr>
        <u/>
        <sz val="11"/>
        <color theme="1"/>
        <rFont val="Calibri"/>
        <family val="2"/>
        <scheme val="minor"/>
      </rPr>
      <t>além dos 3 dias já previsto em lei</t>
    </r>
    <r>
      <rPr>
        <sz val="11"/>
        <color theme="1"/>
        <rFont val="Calibri"/>
        <family val="2"/>
        <scheme val="minor"/>
      </rPr>
      <t>)</t>
    </r>
  </si>
  <si>
    <t>Data projeção do  aviso</t>
  </si>
  <si>
    <t>Dias de aviso indenizado</t>
  </si>
  <si>
    <t>Fraçao de meses</t>
  </si>
  <si>
    <t>Projeção para cálculo:</t>
  </si>
  <si>
    <t>tirando casas decimais</t>
  </si>
  <si>
    <t>13ª no aviso</t>
  </si>
  <si>
    <t>Data de saída (projeção)</t>
  </si>
  <si>
    <t>Base de Cálculo Demissional</t>
  </si>
  <si>
    <t>Único Company    .:.    Acácio Jr     .:.    Fecomerciários</t>
  </si>
  <si>
    <t>Único Company     .:.     Acácio Jr     .:.     Fecomerciários</t>
  </si>
  <si>
    <t>Tabela de contagem do acréscimo ao tempo de aviso prévio - Lei nº 12.506 de 11 de outubro de 2011</t>
  </si>
  <si>
    <t>Tempo de serviço, Ano completo</t>
  </si>
  <si>
    <t>Aviso Prévio, dias</t>
  </si>
  <si>
    <t>Fevereiro</t>
  </si>
  <si>
    <t>Média de salário para cálculo de FGTS:</t>
  </si>
  <si>
    <t>bruto</t>
  </si>
  <si>
    <t>Número de filhos menores de 14 anos, para salários até:</t>
  </si>
  <si>
    <t>Meses trabalhados na empresa:</t>
  </si>
  <si>
    <t>IPRF Outros</t>
  </si>
  <si>
    <t>*Preencher o valor já incluindo o DSR quando houver.</t>
  </si>
  <si>
    <t>Desconta INSS sobre aviso prévio indenizado?</t>
  </si>
  <si>
    <t>Calcula sobre outros (valores adicionais do mês)?</t>
  </si>
  <si>
    <t>Valor limite de desconto:</t>
  </si>
  <si>
    <t>Contribuição Confederativa/Assistencial:</t>
  </si>
  <si>
    <t>Desconto confederativa</t>
  </si>
  <si>
    <t>Calculo do desconto</t>
  </si>
  <si>
    <t>limite se houver</t>
  </si>
  <si>
    <t>Último dia do mês inicial</t>
  </si>
  <si>
    <t>Último dia do mês anterior a projeçao do calculo</t>
  </si>
  <si>
    <t>dias trabalhados apos data de aniversario</t>
  </si>
  <si>
    <t>Outras Verbas:</t>
  </si>
  <si>
    <t>Valor para calculo da previdencia social</t>
  </si>
  <si>
    <t>outros</t>
  </si>
  <si>
    <t>Indenizado</t>
  </si>
  <si>
    <t>saldo</t>
  </si>
  <si>
    <t>Valor para calculo de Inss apenas sobre saldo de salario</t>
  </si>
  <si>
    <t>Procentagem apenas sobre saldo de salario</t>
  </si>
  <si>
    <t>salário e/ou outros líquido</t>
  </si>
  <si>
    <t>porcentagem saldo e/ou + indenização</t>
  </si>
  <si>
    <t>Descontos:</t>
  </si>
  <si>
    <t>Incide INSS e IRPF?</t>
  </si>
  <si>
    <r>
      <t>FGTS:</t>
    </r>
    <r>
      <rPr>
        <sz val="11"/>
        <color indexed="8"/>
        <rFont val="Calibri"/>
        <family val="2"/>
      </rPr>
      <t xml:space="preserve"> </t>
    </r>
    <r>
      <rPr>
        <i/>
        <sz val="11"/>
        <color indexed="8"/>
        <rFont val="Calibri"/>
        <family val="2"/>
      </rPr>
      <t>(valor estimado)</t>
    </r>
  </si>
  <si>
    <t>+</t>
  </si>
  <si>
    <t>Fim mes anterior</t>
  </si>
  <si>
    <t>Projeção pedido de demissão</t>
  </si>
  <si>
    <t>Parâmetro</t>
  </si>
  <si>
    <t>Mês</t>
  </si>
  <si>
    <t>x</t>
  </si>
  <si>
    <t>Parâmetro:</t>
  </si>
  <si>
    <t>Ano Completo</t>
  </si>
  <si>
    <t>Ano + 1 dia</t>
  </si>
  <si>
    <t>Multa Data Base</t>
  </si>
  <si>
    <t>Data Base da categoria</t>
  </si>
  <si>
    <t>Dia</t>
  </si>
  <si>
    <t>Meses trabalhados</t>
  </si>
  <si>
    <t>Adiantamentos:</t>
  </si>
  <si>
    <t>resultado 13º</t>
  </si>
  <si>
    <t>FECOMERCIÁRIOS</t>
  </si>
  <si>
    <t>Federação dos Empregados no Comércio do Estado de São Paulo</t>
  </si>
  <si>
    <t>Rua dos Pinheiros, 20 - Pinheiros, São Paulo/SP</t>
  </si>
  <si>
    <t>(11) 3060 6600</t>
  </si>
  <si>
    <t>www.fecomerciarios.org.br</t>
  </si>
  <si>
    <t>fecomerciarios@fecomerciarios.org.br</t>
  </si>
  <si>
    <t>Meses de registro anterior:</t>
  </si>
  <si>
    <t>Qtd de solicit. seg. desemprego:</t>
  </si>
  <si>
    <t>1ª solicitação</t>
  </si>
  <si>
    <t>2ª solicitação</t>
  </si>
  <si>
    <t>3ª ou mais</t>
  </si>
  <si>
    <t>Deslig. antes de 28/02/2015</t>
  </si>
  <si>
    <t>*para soma de tempo de serviço (informação para seguro desemprego)</t>
  </si>
  <si>
    <t>Meses em empregos anteriores</t>
  </si>
  <si>
    <t>Desenvolvido por: Acácio Júnior  - acaciojunior.com</t>
  </si>
  <si>
    <t>Conheça a versão pró. Mais funcionalidades, diversas configurações e muito mais completa. Acesse www.acaciojunior.com</t>
  </si>
  <si>
    <t>Conheça a versão pró, acesse www.acaciojunior.com</t>
  </si>
  <si>
    <t>versão pró</t>
  </si>
  <si>
    <t>www.acaciojunior.com</t>
  </si>
  <si>
    <t>acaciojunior@hotmail.com</t>
  </si>
  <si>
    <t>Planilha+ 5.1.2   .:.   Acácio Jr Tecnol  .:.    Última atualização: 24/02/2017  -  único@acaciojunior.com</t>
  </si>
  <si>
    <t>Os cálculos contidos na planilha são baseados em dados referenciados, porém ainda sim podem estar incorretos. Sendo assim, os mesmos devem ser utilizados apenas como referência.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</si>
</sst>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_-;\-* #,##0.00_-;_-* &quot;-&quot;??_-;_-@_-"/>
    <numFmt numFmtId="164" formatCode="&quot;R$ &quot;#,##0.00_);[Red]\(&quot;R$ &quot;#,##0.00\)"/>
    <numFmt numFmtId="165" formatCode="_(&quot;R$ &quot;* #,##0.00_);_(&quot;R$ &quot;* \(#,##0.00\);_(&quot;R$ &quot;* &quot;-&quot;??_);_(@_)"/>
    <numFmt numFmtId="166" formatCode="_(* #,##0.00_);_(* \(#,##0.00\);_(* &quot;-&quot;??_);_(@_)"/>
    <numFmt numFmtId="167" formatCode="&quot;R$ &quot;#,##0.00"/>
    <numFmt numFmtId="168" formatCode="_(* #,##0_);_(* \(#,##0\);_(* &quot;-&quot;??_);_(@_)"/>
    <numFmt numFmtId="169" formatCode="&quot;R$&quot;\ #,##0.00"/>
    <numFmt numFmtId="170" formatCode="0.000000000000"/>
    <numFmt numFmtId="171" formatCode="_(* #,##0.0_);_(* \(#,##0.0\);_(* &quot;-&quot;??_);_(@_)"/>
  </numFmts>
  <fonts count="89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i/>
      <sz val="9"/>
      <color indexed="8"/>
      <name val="Calibri"/>
      <family val="2"/>
    </font>
    <font>
      <b/>
      <sz val="20"/>
      <color indexed="8"/>
      <name val="Calibri"/>
      <family val="2"/>
    </font>
    <font>
      <sz val="8"/>
      <color indexed="8"/>
      <name val="Calibri"/>
      <family val="2"/>
    </font>
    <font>
      <sz val="8"/>
      <name val="Calibri"/>
      <family val="2"/>
    </font>
    <font>
      <sz val="14"/>
      <color indexed="8"/>
      <name val="Calibri"/>
      <family val="2"/>
    </font>
    <font>
      <i/>
      <sz val="14"/>
      <color indexed="8"/>
      <name val="Calibri"/>
      <family val="2"/>
    </font>
    <font>
      <i/>
      <sz val="11"/>
      <color indexed="8"/>
      <name val="Calibri"/>
      <family val="2"/>
    </font>
    <font>
      <b/>
      <sz val="18"/>
      <name val="Calibri"/>
      <family val="2"/>
    </font>
    <font>
      <i/>
      <sz val="10"/>
      <color indexed="8"/>
      <name val="Calibri"/>
      <family val="2"/>
    </font>
    <font>
      <sz val="10"/>
      <color indexed="8"/>
      <name val="Arial"/>
      <family val="2"/>
    </font>
    <font>
      <b/>
      <sz val="11"/>
      <color indexed="12"/>
      <name val="Calibri"/>
      <family val="2"/>
    </font>
    <font>
      <sz val="14"/>
      <color indexed="62"/>
      <name val="Calibri"/>
      <family val="2"/>
    </font>
    <font>
      <b/>
      <sz val="10"/>
      <color indexed="8"/>
      <name val="Arial"/>
      <family val="2"/>
    </font>
    <font>
      <b/>
      <i/>
      <sz val="11"/>
      <color indexed="8"/>
      <name val="Calibri"/>
      <family val="2"/>
    </font>
    <font>
      <b/>
      <sz val="14"/>
      <color indexed="8"/>
      <name val="Calibri"/>
      <family val="2"/>
    </font>
    <font>
      <b/>
      <sz val="16"/>
      <name val="Calibri"/>
      <family val="2"/>
    </font>
    <font>
      <b/>
      <sz val="11"/>
      <name val="Calibri"/>
      <family val="2"/>
    </font>
    <font>
      <sz val="10"/>
      <color indexed="8"/>
      <name val="Franklin Gothic Book"/>
      <family val="2"/>
    </font>
    <font>
      <b/>
      <sz val="10"/>
      <color indexed="8"/>
      <name val="Calibri"/>
      <family val="2"/>
    </font>
    <font>
      <sz val="14"/>
      <name val="Calibri"/>
      <family val="2"/>
    </font>
    <font>
      <sz val="11"/>
      <name val="Calibri"/>
      <family val="2"/>
    </font>
    <font>
      <u/>
      <sz val="14"/>
      <color indexed="8"/>
      <name val="Calibri"/>
      <family val="2"/>
    </font>
    <font>
      <sz val="13"/>
      <color indexed="8"/>
      <name val="Calibri"/>
      <family val="2"/>
    </font>
    <font>
      <b/>
      <sz val="16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10"/>
      <color rgb="FF000000"/>
      <name val="Verdana"/>
      <family val="2"/>
    </font>
    <font>
      <i/>
      <sz val="10"/>
      <color theme="0"/>
      <name val="Calibri"/>
      <family val="2"/>
    </font>
    <font>
      <sz val="10"/>
      <color theme="0"/>
      <name val="Calibri"/>
      <family val="2"/>
    </font>
    <font>
      <b/>
      <sz val="14"/>
      <color theme="0"/>
      <name val="Calibri"/>
      <family val="2"/>
    </font>
    <font>
      <sz val="14"/>
      <color theme="0"/>
      <name val="Calibri"/>
      <family val="2"/>
    </font>
    <font>
      <b/>
      <sz val="11"/>
      <color rgb="FF0000FF"/>
      <name val="Calibri"/>
      <family val="2"/>
      <scheme val="minor"/>
    </font>
    <font>
      <i/>
      <sz val="11"/>
      <color theme="0" tint="-0.14999847407452621"/>
      <name val="Calibri"/>
      <family val="2"/>
    </font>
    <font>
      <sz val="11"/>
      <color theme="0"/>
      <name val="Calibri"/>
      <family val="2"/>
    </font>
    <font>
      <sz val="11"/>
      <color theme="1"/>
      <name val="Calibri"/>
      <family val="2"/>
    </font>
    <font>
      <sz val="9"/>
      <color theme="1"/>
      <name val="Calibri"/>
      <family val="2"/>
    </font>
    <font>
      <b/>
      <sz val="20"/>
      <color theme="1"/>
      <name val="Calibri"/>
      <family val="2"/>
      <scheme val="minor"/>
    </font>
    <font>
      <u/>
      <sz val="11"/>
      <color theme="0"/>
      <name val="Calibri"/>
      <family val="2"/>
    </font>
    <font>
      <i/>
      <sz val="11"/>
      <color theme="0"/>
      <name val="Calibri"/>
      <family val="2"/>
    </font>
    <font>
      <sz val="13"/>
      <color theme="0"/>
      <name val="Calibri"/>
      <family val="2"/>
    </font>
    <font>
      <b/>
      <sz val="18"/>
      <color theme="1"/>
      <name val="Calibri"/>
      <family val="2"/>
      <scheme val="minor"/>
    </font>
    <font>
      <sz val="10"/>
      <color rgb="FF000000"/>
      <name val="Verdana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Symbol"/>
      <family val="1"/>
      <charset val="2"/>
    </font>
    <font>
      <sz val="10"/>
      <color indexed="8"/>
      <name val="Calibri"/>
      <family val="2"/>
    </font>
    <font>
      <u/>
      <sz val="11"/>
      <color theme="1"/>
      <name val="Calibri"/>
      <family val="2"/>
      <scheme val="minor"/>
    </font>
    <font>
      <sz val="10"/>
      <color theme="3" tint="0.59999389629810485"/>
      <name val="Calibri"/>
      <family val="2"/>
    </font>
    <font>
      <i/>
      <u/>
      <sz val="10"/>
      <color indexed="8"/>
      <name val="Calibri"/>
      <family val="2"/>
    </font>
    <font>
      <b/>
      <i/>
      <sz val="10"/>
      <color theme="0"/>
      <name val="Calibri"/>
      <family val="2"/>
    </font>
    <font>
      <b/>
      <i/>
      <sz val="9"/>
      <color theme="0"/>
      <name val="Calibri"/>
      <family val="2"/>
    </font>
    <font>
      <sz val="10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2"/>
      <color indexed="8"/>
      <name val="Calibri"/>
      <family val="2"/>
    </font>
    <font>
      <sz val="12"/>
      <color theme="3"/>
      <name val="Calibri"/>
      <family val="2"/>
    </font>
    <font>
      <sz val="13"/>
      <color theme="3"/>
      <name val="Calibri"/>
      <family val="2"/>
    </font>
    <font>
      <sz val="13"/>
      <color theme="3" tint="-0.249977111117893"/>
      <name val="Calibri"/>
      <family val="2"/>
    </font>
    <font>
      <sz val="13"/>
      <color indexed="62"/>
      <name val="Calibri"/>
      <family val="2"/>
    </font>
    <font>
      <i/>
      <sz val="10"/>
      <color theme="3"/>
      <name val="Calibri"/>
      <family val="2"/>
    </font>
    <font>
      <sz val="9"/>
      <color indexed="8"/>
      <name val="Calibri"/>
      <family val="2"/>
      <scheme val="minor"/>
    </font>
    <font>
      <b/>
      <sz val="20"/>
      <color indexed="8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9"/>
      <color indexed="8"/>
      <name val="Calibri"/>
      <family val="2"/>
      <scheme val="minor"/>
    </font>
    <font>
      <b/>
      <i/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sz val="9"/>
      <color indexed="8"/>
      <name val="Calibri"/>
      <family val="2"/>
      <scheme val="minor"/>
    </font>
    <font>
      <i/>
      <sz val="11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i/>
      <sz val="7"/>
      <color indexed="8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3"/>
      <color theme="3" tint="-0.499984740745262"/>
      <name val="Calibri"/>
      <family val="2"/>
    </font>
    <font>
      <i/>
      <sz val="8"/>
      <color indexed="8"/>
      <name val="Calibri"/>
      <family val="2"/>
    </font>
    <font>
      <b/>
      <sz val="11"/>
      <color rgb="FFC00000"/>
      <name val="Calibri"/>
      <family val="2"/>
      <scheme val="minor"/>
    </font>
    <font>
      <b/>
      <sz val="12"/>
      <color rgb="FFFF0000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-0.249977111117893"/>
        <bgColor indexed="64"/>
      </patternFill>
    </fill>
  </fills>
  <borders count="60">
    <border>
      <left/>
      <right/>
      <top/>
      <bottom/>
      <diagonal/>
    </border>
    <border>
      <left/>
      <right/>
      <top/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/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theme="4" tint="0.39991454817346722"/>
      </left>
      <right/>
      <top/>
      <bottom/>
      <diagonal/>
    </border>
    <border>
      <left style="hair">
        <color theme="0" tint="-0.14996795556505021"/>
      </left>
      <right style="hair">
        <color theme="0" tint="-0.14996795556505021"/>
      </right>
      <top style="hair">
        <color theme="0" tint="-0.14996795556505021"/>
      </top>
      <bottom style="hair">
        <color theme="0" tint="-0.14996795556505021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/>
      <diagonal/>
    </border>
    <border>
      <left/>
      <right style="medium">
        <color rgb="FFC00000"/>
      </right>
      <top/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</borders>
  <cellStyleXfs count="4">
    <xf numFmtId="0" fontId="0" fillId="0" borderId="0"/>
    <xf numFmtId="0" fontId="33" fillId="0" borderId="0" applyNumberFormat="0" applyFill="0" applyBorder="0" applyAlignment="0" applyProtection="0">
      <alignment vertical="top"/>
      <protection locked="0"/>
    </xf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</cellStyleXfs>
  <cellXfs count="716">
    <xf numFmtId="0" fontId="0" fillId="0" borderId="0" xfId="0"/>
    <xf numFmtId="0" fontId="4" fillId="0" borderId="0" xfId="0" applyFont="1"/>
    <xf numFmtId="0" fontId="10" fillId="2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7" fillId="3" borderId="0" xfId="0" applyFont="1" applyFill="1" applyAlignment="1">
      <alignment horizontal="center" vertical="center"/>
    </xf>
    <xf numFmtId="0" fontId="4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vertical="center"/>
    </xf>
    <xf numFmtId="0" fontId="4" fillId="0" borderId="0" xfId="0" applyFont="1" applyAlignment="1">
      <alignment horizontal="left" vertical="center"/>
    </xf>
    <xf numFmtId="0" fontId="4" fillId="4" borderId="0" xfId="0" applyFont="1" applyFill="1" applyAlignment="1">
      <alignment vertical="center"/>
    </xf>
    <xf numFmtId="14" fontId="4" fillId="0" borderId="0" xfId="0" applyNumberFormat="1" applyFont="1" applyAlignment="1">
      <alignment vertical="center"/>
    </xf>
    <xf numFmtId="167" fontId="4" fillId="4" borderId="0" xfId="0" applyNumberFormat="1" applyFont="1" applyFill="1" applyAlignment="1">
      <alignment vertical="center"/>
    </xf>
    <xf numFmtId="0" fontId="0" fillId="0" borderId="0" xfId="0" applyAlignment="1">
      <alignment vertical="center" wrapText="1"/>
    </xf>
    <xf numFmtId="0" fontId="0" fillId="5" borderId="0" xfId="0" applyFill="1" applyAlignment="1">
      <alignment vertical="center" wrapText="1"/>
    </xf>
    <xf numFmtId="0" fontId="4" fillId="5" borderId="0" xfId="0" applyFont="1" applyFill="1" applyAlignment="1">
      <alignment vertical="center"/>
    </xf>
    <xf numFmtId="2" fontId="4" fillId="5" borderId="0" xfId="0" applyNumberFormat="1" applyFont="1" applyFill="1" applyAlignment="1">
      <alignment vertical="center"/>
    </xf>
    <xf numFmtId="0" fontId="5" fillId="0" borderId="0" xfId="0" applyFont="1" applyAlignment="1">
      <alignment vertical="center"/>
    </xf>
    <xf numFmtId="165" fontId="4" fillId="0" borderId="0" xfId="2" applyFont="1" applyAlignment="1">
      <alignment vertical="center"/>
    </xf>
    <xf numFmtId="165" fontId="5" fillId="0" borderId="0" xfId="2" applyFont="1" applyAlignment="1">
      <alignment vertical="center"/>
    </xf>
    <xf numFmtId="10" fontId="4" fillId="0" borderId="0" xfId="0" applyNumberFormat="1" applyFont="1" applyAlignment="1">
      <alignment vertical="center"/>
    </xf>
    <xf numFmtId="165" fontId="4" fillId="0" borderId="0" xfId="0" applyNumberFormat="1" applyFont="1" applyAlignment="1">
      <alignment vertical="center"/>
    </xf>
    <xf numFmtId="9" fontId="4" fillId="0" borderId="0" xfId="0" applyNumberFormat="1" applyFont="1" applyAlignment="1">
      <alignment vertical="center"/>
    </xf>
    <xf numFmtId="165" fontId="5" fillId="0" borderId="0" xfId="0" applyNumberFormat="1" applyFont="1" applyAlignment="1">
      <alignment vertical="center"/>
    </xf>
    <xf numFmtId="167" fontId="5" fillId="0" borderId="0" xfId="0" applyNumberFormat="1" applyFont="1" applyAlignment="1">
      <alignment vertical="center"/>
    </xf>
    <xf numFmtId="167" fontId="4" fillId="0" borderId="0" xfId="0" applyNumberFormat="1" applyFont="1" applyAlignment="1">
      <alignment vertical="center"/>
    </xf>
    <xf numFmtId="0" fontId="15" fillId="0" borderId="0" xfId="0" applyFont="1" applyFill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center" vertical="center" wrapText="1"/>
    </xf>
    <xf numFmtId="0" fontId="1" fillId="3" borderId="0" xfId="0" applyFont="1" applyFill="1" applyAlignment="1">
      <alignment vertical="center"/>
    </xf>
    <xf numFmtId="0" fontId="1" fillId="0" borderId="0" xfId="0" applyFont="1" applyAlignment="1">
      <alignment vertical="center"/>
    </xf>
    <xf numFmtId="0" fontId="10" fillId="3" borderId="0" xfId="0" applyFont="1" applyFill="1" applyAlignment="1">
      <alignment vertical="center"/>
    </xf>
    <xf numFmtId="0" fontId="7" fillId="3" borderId="0" xfId="0" applyFont="1" applyFill="1" applyAlignment="1">
      <alignment vertical="center"/>
    </xf>
    <xf numFmtId="2" fontId="4" fillId="6" borderId="0" xfId="0" applyNumberFormat="1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6" fillId="3" borderId="0" xfId="0" applyFont="1" applyFill="1" applyAlignment="1">
      <alignment vertical="center" wrapText="1"/>
    </xf>
    <xf numFmtId="0" fontId="4" fillId="8" borderId="0" xfId="0" applyFont="1" applyFill="1" applyAlignment="1">
      <alignment vertical="center"/>
    </xf>
    <xf numFmtId="0" fontId="4" fillId="9" borderId="0" xfId="0" applyFont="1" applyFill="1" applyAlignment="1">
      <alignment vertical="center"/>
    </xf>
    <xf numFmtId="0" fontId="4" fillId="10" borderId="0" xfId="0" applyFont="1" applyFill="1" applyAlignment="1">
      <alignment vertical="center"/>
    </xf>
    <xf numFmtId="0" fontId="4" fillId="11" borderId="0" xfId="0" applyFont="1" applyFill="1" applyAlignment="1">
      <alignment vertical="center"/>
    </xf>
    <xf numFmtId="0" fontId="4" fillId="12" borderId="0" xfId="0" applyFont="1" applyFill="1" applyAlignment="1">
      <alignment vertical="center"/>
    </xf>
    <xf numFmtId="0" fontId="1" fillId="12" borderId="0" xfId="0" applyFont="1" applyFill="1" applyAlignment="1">
      <alignment vertical="center"/>
    </xf>
    <xf numFmtId="0" fontId="16" fillId="12" borderId="0" xfId="1" applyFont="1" applyFill="1" applyAlignment="1" applyProtection="1">
      <alignment vertical="center"/>
      <protection locked="0"/>
    </xf>
    <xf numFmtId="0" fontId="6" fillId="12" borderId="0" xfId="0" applyFont="1" applyFill="1" applyAlignment="1">
      <alignment vertical="center" wrapText="1"/>
    </xf>
    <xf numFmtId="0" fontId="33" fillId="12" borderId="0" xfId="1" applyFill="1" applyAlignment="1" applyProtection="1"/>
    <xf numFmtId="0" fontId="0" fillId="0" borderId="0" xfId="0" applyAlignment="1">
      <alignment horizontal="right"/>
    </xf>
    <xf numFmtId="14" fontId="0" fillId="0" borderId="0" xfId="0" applyNumberFormat="1"/>
    <xf numFmtId="0" fontId="34" fillId="12" borderId="0" xfId="0" applyFont="1" applyFill="1" applyAlignment="1">
      <alignment horizontal="right"/>
    </xf>
    <xf numFmtId="0" fontId="35" fillId="12" borderId="0" xfId="0" applyFont="1" applyFill="1"/>
    <xf numFmtId="0" fontId="0" fillId="12" borderId="0" xfId="0" applyFill="1" applyAlignment="1">
      <alignment horizontal="left"/>
    </xf>
    <xf numFmtId="0" fontId="0" fillId="0" borderId="0" xfId="0" applyAlignment="1">
      <alignment horizontal="left"/>
    </xf>
    <xf numFmtId="0" fontId="32" fillId="12" borderId="2" xfId="0" applyFont="1" applyFill="1" applyBorder="1" applyAlignment="1">
      <alignment horizontal="left"/>
    </xf>
    <xf numFmtId="0" fontId="34" fillId="14" borderId="3" xfId="0" applyFont="1" applyFill="1" applyBorder="1"/>
    <xf numFmtId="0" fontId="34" fillId="14" borderId="0" xfId="0" applyFont="1" applyFill="1" applyBorder="1"/>
    <xf numFmtId="0" fontId="34" fillId="14" borderId="4" xfId="0" applyFont="1" applyFill="1" applyBorder="1"/>
    <xf numFmtId="169" fontId="32" fillId="12" borderId="5" xfId="2" applyNumberFormat="1" applyFont="1" applyFill="1" applyBorder="1" applyAlignment="1">
      <alignment horizontal="left"/>
    </xf>
    <xf numFmtId="0" fontId="34" fillId="12" borderId="0" xfId="0" applyFont="1" applyFill="1"/>
    <xf numFmtId="0" fontId="36" fillId="0" borderId="0" xfId="0" applyFont="1"/>
    <xf numFmtId="0" fontId="0" fillId="12" borderId="0" xfId="0" applyFill="1"/>
    <xf numFmtId="0" fontId="0" fillId="12" borderId="0" xfId="0" applyFill="1"/>
    <xf numFmtId="0" fontId="0" fillId="15" borderId="0" xfId="0" applyFill="1"/>
    <xf numFmtId="0" fontId="0" fillId="15" borderId="0" xfId="0" applyFill="1" applyAlignment="1"/>
    <xf numFmtId="0" fontId="10" fillId="16" borderId="0" xfId="0" applyFont="1" applyFill="1" applyAlignment="1">
      <alignment vertical="center"/>
    </xf>
    <xf numFmtId="0" fontId="10" fillId="17" borderId="0" xfId="0" applyFont="1" applyFill="1" applyAlignment="1">
      <alignment vertical="center"/>
    </xf>
    <xf numFmtId="0" fontId="10" fillId="17" borderId="6" xfId="0" applyFont="1" applyFill="1" applyBorder="1" applyAlignment="1">
      <alignment vertical="center"/>
    </xf>
    <xf numFmtId="0" fontId="10" fillId="17" borderId="6" xfId="0" applyFont="1" applyFill="1" applyBorder="1" applyAlignment="1">
      <alignment horizontal="left" vertical="center"/>
    </xf>
    <xf numFmtId="0" fontId="11" fillId="17" borderId="0" xfId="0" applyFont="1" applyFill="1" applyAlignment="1">
      <alignment horizontal="center" vertical="center"/>
    </xf>
    <xf numFmtId="0" fontId="10" fillId="17" borderId="0" xfId="0" applyFont="1" applyFill="1" applyAlignment="1">
      <alignment horizontal="center" vertical="center"/>
    </xf>
    <xf numFmtId="14" fontId="37" fillId="17" borderId="0" xfId="0" applyNumberFormat="1" applyFont="1" applyFill="1" applyAlignment="1">
      <alignment vertical="center"/>
    </xf>
    <xf numFmtId="0" fontId="37" fillId="17" borderId="0" xfId="0" applyFont="1" applyFill="1" applyAlignment="1">
      <alignment vertical="center"/>
    </xf>
    <xf numFmtId="0" fontId="38" fillId="17" borderId="0" xfId="0" applyFont="1" applyFill="1" applyAlignment="1">
      <alignment vertical="center"/>
    </xf>
    <xf numFmtId="0" fontId="39" fillId="17" borderId="0" xfId="0" applyFont="1" applyFill="1" applyAlignment="1">
      <alignment horizontal="center" vertical="center"/>
    </xf>
    <xf numFmtId="0" fontId="0" fillId="17" borderId="0" xfId="0" applyFill="1"/>
    <xf numFmtId="0" fontId="0" fillId="17" borderId="0" xfId="0" applyFill="1" applyAlignment="1"/>
    <xf numFmtId="0" fontId="40" fillId="16" borderId="0" xfId="0" applyFont="1" applyFill="1" applyAlignment="1">
      <alignment vertical="center"/>
    </xf>
    <xf numFmtId="0" fontId="14" fillId="16" borderId="0" xfId="0" applyFont="1" applyFill="1" applyAlignment="1">
      <alignment vertical="center"/>
    </xf>
    <xf numFmtId="0" fontId="10" fillId="16" borderId="0" xfId="0" applyFont="1" applyFill="1" applyAlignment="1">
      <alignment horizontal="center" vertical="center"/>
    </xf>
    <xf numFmtId="0" fontId="10" fillId="16" borderId="6" xfId="0" applyFont="1" applyFill="1" applyBorder="1" applyAlignment="1">
      <alignment vertical="center"/>
    </xf>
    <xf numFmtId="0" fontId="10" fillId="16" borderId="6" xfId="0" applyFont="1" applyFill="1" applyBorder="1" applyAlignment="1">
      <alignment horizontal="left" vertical="center"/>
    </xf>
    <xf numFmtId="0" fontId="41" fillId="0" borderId="0" xfId="0" applyFont="1" applyAlignment="1"/>
    <xf numFmtId="0" fontId="17" fillId="17" borderId="0" xfId="0" applyFont="1" applyFill="1" applyAlignment="1" applyProtection="1">
      <alignment vertical="center"/>
    </xf>
    <xf numFmtId="0" fontId="10" fillId="17" borderId="0" xfId="0" applyFont="1" applyFill="1" applyAlignment="1" applyProtection="1">
      <alignment vertical="center"/>
    </xf>
    <xf numFmtId="0" fontId="10" fillId="3" borderId="0" xfId="0" applyFont="1" applyFill="1" applyAlignment="1" applyProtection="1">
      <alignment vertical="center"/>
    </xf>
    <xf numFmtId="0" fontId="7" fillId="3" borderId="0" xfId="0" applyFont="1" applyFill="1" applyAlignment="1" applyProtection="1">
      <alignment horizontal="center" vertical="center"/>
    </xf>
    <xf numFmtId="0" fontId="7" fillId="3" borderId="0" xfId="0" applyFont="1" applyFill="1" applyAlignment="1" applyProtection="1">
      <alignment vertical="center"/>
    </xf>
    <xf numFmtId="0" fontId="37" fillId="17" borderId="0" xfId="0" applyFont="1" applyFill="1" applyAlignment="1" applyProtection="1">
      <alignment vertical="center"/>
    </xf>
    <xf numFmtId="0" fontId="10" fillId="17" borderId="0" xfId="0" applyFont="1" applyFill="1" applyAlignment="1" applyProtection="1">
      <alignment horizontal="center" vertical="center"/>
    </xf>
    <xf numFmtId="14" fontId="37" fillId="17" borderId="0" xfId="0" applyNumberFormat="1" applyFont="1" applyFill="1" applyAlignment="1" applyProtection="1">
      <alignment vertical="center"/>
    </xf>
    <xf numFmtId="0" fontId="11" fillId="17" borderId="0" xfId="0" applyFont="1" applyFill="1" applyAlignment="1" applyProtection="1">
      <alignment horizontal="center" vertical="center"/>
    </xf>
    <xf numFmtId="0" fontId="10" fillId="17" borderId="6" xfId="0" applyFont="1" applyFill="1" applyBorder="1" applyAlignment="1" applyProtection="1">
      <alignment vertical="center"/>
    </xf>
    <xf numFmtId="0" fontId="10" fillId="17" borderId="6" xfId="0" applyFont="1" applyFill="1" applyBorder="1" applyAlignment="1" applyProtection="1">
      <alignment horizontal="left" vertical="center"/>
    </xf>
    <xf numFmtId="0" fontId="42" fillId="17" borderId="0" xfId="0" applyFont="1" applyFill="1" applyAlignment="1" applyProtection="1">
      <alignment horizontal="left" vertical="center"/>
    </xf>
    <xf numFmtId="0" fontId="42" fillId="17" borderId="0" xfId="0" applyFont="1" applyFill="1" applyAlignment="1" applyProtection="1">
      <alignment horizontal="right" vertical="center"/>
    </xf>
    <xf numFmtId="0" fontId="4" fillId="3" borderId="0" xfId="0" applyFont="1" applyFill="1" applyAlignment="1" applyProtection="1">
      <alignment vertical="center"/>
    </xf>
    <xf numFmtId="0" fontId="4" fillId="3" borderId="7" xfId="0" applyFont="1" applyFill="1" applyBorder="1" applyAlignment="1" applyProtection="1">
      <alignment vertical="center"/>
    </xf>
    <xf numFmtId="0" fontId="4" fillId="3" borderId="0" xfId="0" applyFont="1" applyFill="1" applyAlignment="1" applyProtection="1">
      <alignment horizontal="right" vertical="center"/>
    </xf>
    <xf numFmtId="0" fontId="1" fillId="3" borderId="0" xfId="0" applyFont="1" applyFill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1" fillId="0" borderId="0" xfId="0" applyFont="1" applyFill="1" applyAlignment="1" applyProtection="1">
      <alignment vertical="center"/>
    </xf>
    <xf numFmtId="0" fontId="1" fillId="0" borderId="0" xfId="0" applyFont="1" applyAlignment="1" applyProtection="1">
      <alignment vertical="center"/>
    </xf>
    <xf numFmtId="0" fontId="1" fillId="3" borderId="0" xfId="0" applyFont="1" applyFill="1" applyAlignment="1" applyProtection="1">
      <alignment horizontal="left" vertical="center"/>
    </xf>
    <xf numFmtId="0" fontId="1" fillId="3" borderId="6" xfId="0" applyFont="1" applyFill="1" applyBorder="1" applyAlignment="1" applyProtection="1">
      <alignment vertical="center"/>
    </xf>
    <xf numFmtId="0" fontId="1" fillId="3" borderId="6" xfId="0" applyFont="1" applyFill="1" applyBorder="1" applyAlignment="1" applyProtection="1">
      <alignment horizontal="left" vertical="center"/>
    </xf>
    <xf numFmtId="0" fontId="1" fillId="3" borderId="0" xfId="0" applyFont="1" applyFill="1" applyBorder="1" applyAlignment="1" applyProtection="1">
      <alignment vertical="center"/>
    </xf>
    <xf numFmtId="0" fontId="43" fillId="12" borderId="0" xfId="0" applyFont="1" applyFill="1" applyBorder="1" applyAlignment="1" applyProtection="1">
      <alignment vertical="center"/>
    </xf>
    <xf numFmtId="0" fontId="12" fillId="3" borderId="0" xfId="0" applyFont="1" applyFill="1" applyBorder="1" applyAlignment="1" applyProtection="1">
      <alignment vertical="center"/>
    </xf>
    <xf numFmtId="165" fontId="43" fillId="12" borderId="0" xfId="2" applyFont="1" applyFill="1" applyBorder="1" applyAlignment="1" applyProtection="1">
      <alignment horizontal="left" vertical="center"/>
    </xf>
    <xf numFmtId="0" fontId="12" fillId="0" borderId="0" xfId="0" applyFont="1" applyAlignment="1" applyProtection="1">
      <alignment vertical="center"/>
    </xf>
    <xf numFmtId="0" fontId="1" fillId="0" borderId="0" xfId="0" applyFont="1" applyAlignment="1" applyProtection="1">
      <alignment horizontal="center" vertical="center"/>
    </xf>
    <xf numFmtId="0" fontId="1" fillId="12" borderId="0" xfId="0" applyFont="1" applyFill="1" applyAlignment="1" applyProtection="1">
      <alignment vertical="center"/>
    </xf>
    <xf numFmtId="0" fontId="4" fillId="12" borderId="0" xfId="0" applyFont="1" applyFill="1" applyAlignment="1" applyProtection="1">
      <alignment vertical="center"/>
    </xf>
    <xf numFmtId="0" fontId="1" fillId="12" borderId="0" xfId="0" applyFont="1" applyFill="1" applyBorder="1" applyAlignment="1" applyProtection="1">
      <alignment vertical="center"/>
    </xf>
    <xf numFmtId="167" fontId="43" fillId="12" borderId="0" xfId="0" applyNumberFormat="1" applyFont="1" applyFill="1" applyBorder="1" applyAlignment="1" applyProtection="1">
      <alignment horizontal="center" vertical="center"/>
    </xf>
    <xf numFmtId="0" fontId="43" fillId="12" borderId="0" xfId="0" applyFont="1" applyFill="1" applyBorder="1" applyAlignment="1" applyProtection="1">
      <alignment horizontal="center" vertical="center"/>
    </xf>
    <xf numFmtId="165" fontId="43" fillId="12" borderId="0" xfId="2" applyFont="1" applyFill="1" applyBorder="1" applyAlignment="1" applyProtection="1">
      <alignment horizontal="center" vertical="center"/>
    </xf>
    <xf numFmtId="0" fontId="3" fillId="3" borderId="8" xfId="0" applyFont="1" applyFill="1" applyBorder="1" applyAlignment="1" applyProtection="1">
      <alignment vertical="center"/>
    </xf>
    <xf numFmtId="0" fontId="1" fillId="3" borderId="9" xfId="0" applyFont="1" applyFill="1" applyBorder="1" applyAlignment="1" applyProtection="1">
      <alignment vertical="center"/>
    </xf>
    <xf numFmtId="0" fontId="6" fillId="12" borderId="0" xfId="0" applyFont="1" applyFill="1" applyAlignment="1" applyProtection="1">
      <alignment vertical="center" wrapText="1"/>
    </xf>
    <xf numFmtId="0" fontId="3" fillId="3" borderId="10" xfId="0" applyFont="1" applyFill="1" applyBorder="1" applyAlignment="1" applyProtection="1">
      <alignment vertical="center"/>
    </xf>
    <xf numFmtId="0" fontId="3" fillId="3" borderId="11" xfId="0" applyFont="1" applyFill="1" applyBorder="1" applyAlignment="1" applyProtection="1">
      <alignment vertical="center"/>
    </xf>
    <xf numFmtId="0" fontId="26" fillId="12" borderId="0" xfId="1" applyFont="1" applyFill="1" applyAlignment="1" applyProtection="1">
      <alignment vertical="center"/>
    </xf>
    <xf numFmtId="14" fontId="1" fillId="12" borderId="0" xfId="0" applyNumberFormat="1" applyFont="1" applyFill="1" applyAlignment="1" applyProtection="1">
      <alignment vertical="center"/>
    </xf>
    <xf numFmtId="0" fontId="44" fillId="3" borderId="0" xfId="0" applyFont="1" applyFill="1" applyBorder="1" applyAlignment="1" applyProtection="1">
      <alignment vertical="center"/>
    </xf>
    <xf numFmtId="0" fontId="6" fillId="12" borderId="0" xfId="0" applyFont="1" applyFill="1" applyAlignment="1" applyProtection="1">
      <alignment vertical="center"/>
    </xf>
    <xf numFmtId="0" fontId="45" fillId="3" borderId="0" xfId="0" applyFont="1" applyFill="1" applyAlignment="1" applyProtection="1">
      <alignment vertical="center"/>
    </xf>
    <xf numFmtId="0" fontId="45" fillId="12" borderId="0" xfId="0" applyFont="1" applyFill="1" applyAlignment="1" applyProtection="1">
      <alignment vertical="center"/>
    </xf>
    <xf numFmtId="0" fontId="44" fillId="12" borderId="0" xfId="0" applyFont="1" applyFill="1" applyBorder="1" applyAlignment="1" applyProtection="1">
      <alignment vertical="center"/>
    </xf>
    <xf numFmtId="165" fontId="1" fillId="12" borderId="0" xfId="2" applyFont="1" applyFill="1" applyBorder="1" applyAlignment="1" applyProtection="1">
      <alignment horizontal="center" vertical="center"/>
    </xf>
    <xf numFmtId="165" fontId="3" fillId="12" borderId="0" xfId="2" applyFont="1" applyFill="1" applyBorder="1" applyAlignment="1" applyProtection="1">
      <alignment vertical="center"/>
    </xf>
    <xf numFmtId="0" fontId="4" fillId="3" borderId="0" xfId="0" applyFont="1" applyFill="1" applyAlignment="1" applyProtection="1">
      <alignment horizontal="left" vertical="center"/>
    </xf>
    <xf numFmtId="0" fontId="6" fillId="12" borderId="0" xfId="0" applyFont="1" applyFill="1" applyAlignment="1" applyProtection="1">
      <alignment horizontal="left" vertical="center" wrapText="1"/>
    </xf>
    <xf numFmtId="0" fontId="0" fillId="12" borderId="0" xfId="0" applyFill="1"/>
    <xf numFmtId="165" fontId="30" fillId="0" borderId="0" xfId="2" applyFont="1"/>
    <xf numFmtId="0" fontId="0" fillId="12" borderId="12" xfId="0" applyFill="1" applyBorder="1"/>
    <xf numFmtId="0" fontId="0" fillId="12" borderId="13" xfId="0" applyFill="1" applyBorder="1"/>
    <xf numFmtId="0" fontId="0" fillId="12" borderId="14" xfId="0" applyFill="1" applyBorder="1"/>
    <xf numFmtId="0" fontId="0" fillId="12" borderId="15" xfId="0" applyFill="1" applyBorder="1"/>
    <xf numFmtId="0" fontId="34" fillId="12" borderId="0" xfId="0" applyFont="1" applyFill="1" applyBorder="1"/>
    <xf numFmtId="0" fontId="0" fillId="12" borderId="0" xfId="0" applyFill="1" applyBorder="1"/>
    <xf numFmtId="0" fontId="0" fillId="12" borderId="16" xfId="0" applyFill="1" applyBorder="1"/>
    <xf numFmtId="0" fontId="0" fillId="12" borderId="17" xfId="0" applyFill="1" applyBorder="1"/>
    <xf numFmtId="0" fontId="0" fillId="12" borderId="18" xfId="0" applyFill="1" applyBorder="1"/>
    <xf numFmtId="0" fontId="0" fillId="12" borderId="19" xfId="0" applyFill="1" applyBorder="1"/>
    <xf numFmtId="0" fontId="0" fillId="12" borderId="20" xfId="0" applyFill="1" applyBorder="1"/>
    <xf numFmtId="0" fontId="34" fillId="12" borderId="21" xfId="0" applyFont="1" applyFill="1" applyBorder="1"/>
    <xf numFmtId="0" fontId="0" fillId="12" borderId="11" xfId="0" applyFill="1" applyBorder="1"/>
    <xf numFmtId="0" fontId="0" fillId="12" borderId="22" xfId="0" applyFill="1" applyBorder="1"/>
    <xf numFmtId="0" fontId="34" fillId="12" borderId="11" xfId="0" applyFont="1" applyFill="1" applyBorder="1"/>
    <xf numFmtId="0" fontId="34" fillId="12" borderId="23" xfId="0" applyFont="1" applyFill="1" applyBorder="1"/>
    <xf numFmtId="0" fontId="0" fillId="12" borderId="23" xfId="0" applyFill="1" applyBorder="1"/>
    <xf numFmtId="165" fontId="30" fillId="12" borderId="0" xfId="2" applyFont="1" applyFill="1" applyBorder="1" applyAlignment="1">
      <alignment horizontal="center"/>
    </xf>
    <xf numFmtId="10" fontId="0" fillId="12" borderId="0" xfId="0" applyNumberFormat="1" applyFill="1" applyBorder="1" applyAlignment="1">
      <alignment horizontal="center"/>
    </xf>
    <xf numFmtId="0" fontId="0" fillId="12" borderId="0" xfId="0" applyFill="1"/>
    <xf numFmtId="169" fontId="38" fillId="17" borderId="0" xfId="2" applyNumberFormat="1" applyFont="1" applyFill="1" applyAlignment="1" applyProtection="1">
      <alignment horizontal="left" vertical="center"/>
    </xf>
    <xf numFmtId="169" fontId="38" fillId="17" borderId="0" xfId="0" applyNumberFormat="1" applyFont="1" applyFill="1" applyAlignment="1">
      <alignment horizontal="left" vertical="center"/>
    </xf>
    <xf numFmtId="0" fontId="0" fillId="12" borderId="18" xfId="0" applyFill="1" applyBorder="1" applyAlignment="1">
      <alignment horizontal="center" vertical="center" wrapText="1"/>
    </xf>
    <xf numFmtId="0" fontId="0" fillId="12" borderId="0" xfId="0" applyFill="1"/>
    <xf numFmtId="0" fontId="0" fillId="12" borderId="0" xfId="0" applyFill="1"/>
    <xf numFmtId="0" fontId="22" fillId="3" borderId="0" xfId="1" applyFont="1" applyFill="1" applyBorder="1" applyAlignment="1" applyProtection="1"/>
    <xf numFmtId="0" fontId="21" fillId="3" borderId="0" xfId="0" applyFont="1" applyFill="1" applyBorder="1" applyAlignment="1" applyProtection="1"/>
    <xf numFmtId="0" fontId="0" fillId="12" borderId="0" xfId="0" applyFill="1" applyBorder="1" applyAlignment="1">
      <alignment horizontal="left" vertical="center"/>
    </xf>
    <xf numFmtId="0" fontId="0" fillId="12" borderId="0" xfId="0" applyFill="1" applyAlignment="1">
      <alignment horizontal="left" vertical="center"/>
    </xf>
    <xf numFmtId="0" fontId="0" fillId="12" borderId="6" xfId="0" applyFill="1" applyBorder="1" applyAlignment="1">
      <alignment horizontal="left" vertical="center"/>
    </xf>
    <xf numFmtId="0" fontId="0" fillId="12" borderId="9" xfId="0" applyFill="1" applyBorder="1" applyAlignment="1">
      <alignment horizontal="left" vertical="center"/>
    </xf>
    <xf numFmtId="0" fontId="0" fillId="12" borderId="9" xfId="0" applyFill="1" applyBorder="1" applyAlignment="1" applyProtection="1">
      <alignment vertical="center"/>
    </xf>
    <xf numFmtId="0" fontId="0" fillId="12" borderId="0" xfId="0" applyFill="1" applyBorder="1" applyAlignment="1" applyProtection="1">
      <alignment horizontal="left" vertical="center"/>
    </xf>
    <xf numFmtId="0" fontId="0" fillId="12" borderId="0" xfId="0" applyFill="1" applyBorder="1" applyAlignment="1" applyProtection="1">
      <alignment horizontal="right" vertical="center"/>
    </xf>
    <xf numFmtId="0" fontId="0" fillId="12" borderId="0" xfId="0" applyFill="1" applyBorder="1" applyAlignment="1" applyProtection="1">
      <alignment vertical="center"/>
    </xf>
    <xf numFmtId="0" fontId="4" fillId="12" borderId="0" xfId="0" applyFont="1" applyFill="1" applyAlignment="1" applyProtection="1">
      <alignment horizontal="right" vertical="center"/>
    </xf>
    <xf numFmtId="0" fontId="1" fillId="12" borderId="0" xfId="0" applyFont="1" applyFill="1" applyAlignment="1" applyProtection="1">
      <alignment horizontal="right" vertical="center"/>
    </xf>
    <xf numFmtId="0" fontId="46" fillId="12" borderId="0" xfId="0" applyFont="1" applyFill="1"/>
    <xf numFmtId="0" fontId="34" fillId="12" borderId="0" xfId="0" applyFont="1" applyFill="1" applyAlignment="1">
      <alignment vertical="center"/>
    </xf>
    <xf numFmtId="0" fontId="34" fillId="12" borderId="0" xfId="0" applyFont="1" applyFill="1" applyAlignment="1">
      <alignment horizontal="right" vertical="center"/>
    </xf>
    <xf numFmtId="0" fontId="0" fillId="12" borderId="6" xfId="0" applyFill="1" applyBorder="1"/>
    <xf numFmtId="0" fontId="0" fillId="12" borderId="18" xfId="0" applyFill="1" applyBorder="1" applyAlignment="1">
      <alignment vertical="center" wrapText="1"/>
    </xf>
    <xf numFmtId="0" fontId="0" fillId="12" borderId="12" xfId="0" applyFill="1" applyBorder="1" applyAlignment="1">
      <alignment horizontal="left" vertical="center"/>
    </xf>
    <xf numFmtId="0" fontId="0" fillId="12" borderId="13" xfId="0" applyFill="1" applyBorder="1" applyAlignment="1">
      <alignment horizontal="left" vertical="center"/>
    </xf>
    <xf numFmtId="0" fontId="0" fillId="12" borderId="14" xfId="0" applyFill="1" applyBorder="1" applyAlignment="1">
      <alignment horizontal="left" vertical="center"/>
    </xf>
    <xf numFmtId="0" fontId="0" fillId="12" borderId="15" xfId="0" applyFill="1" applyBorder="1" applyAlignment="1">
      <alignment horizontal="left" vertical="center"/>
    </xf>
    <xf numFmtId="0" fontId="0" fillId="12" borderId="16" xfId="0" applyFill="1" applyBorder="1" applyAlignment="1">
      <alignment horizontal="left" vertical="center"/>
    </xf>
    <xf numFmtId="0" fontId="6" fillId="12" borderId="16" xfId="0" applyFont="1" applyFill="1" applyBorder="1" applyAlignment="1" applyProtection="1">
      <alignment vertical="center" wrapText="1"/>
    </xf>
    <xf numFmtId="0" fontId="6" fillId="3" borderId="17" xfId="0" applyFont="1" applyFill="1" applyBorder="1" applyAlignment="1" applyProtection="1">
      <alignment vertical="center" wrapText="1"/>
    </xf>
    <xf numFmtId="0" fontId="6" fillId="3" borderId="18" xfId="0" applyFont="1" applyFill="1" applyBorder="1" applyAlignment="1" applyProtection="1">
      <alignment vertical="center" wrapText="1"/>
    </xf>
    <xf numFmtId="0" fontId="0" fillId="12" borderId="18" xfId="0" applyFill="1" applyBorder="1" applyAlignment="1" applyProtection="1">
      <alignment horizontal="left" vertical="center"/>
    </xf>
    <xf numFmtId="0" fontId="0" fillId="12" borderId="18" xfId="0" applyFill="1" applyBorder="1" applyAlignment="1" applyProtection="1">
      <alignment horizontal="right" vertical="center"/>
    </xf>
    <xf numFmtId="0" fontId="0" fillId="12" borderId="18" xfId="0" applyFill="1" applyBorder="1" applyAlignment="1" applyProtection="1">
      <alignment vertical="center"/>
    </xf>
    <xf numFmtId="0" fontId="0" fillId="12" borderId="9" xfId="0" applyFill="1" applyBorder="1" applyAlignment="1" applyProtection="1">
      <alignment horizontal="right" vertical="center"/>
    </xf>
    <xf numFmtId="0" fontId="0" fillId="12" borderId="0" xfId="0" applyFill="1"/>
    <xf numFmtId="0" fontId="47" fillId="15" borderId="0" xfId="1" applyFont="1" applyFill="1" applyAlignment="1" applyProtection="1">
      <alignment horizontal="right"/>
    </xf>
    <xf numFmtId="0" fontId="47" fillId="17" borderId="0" xfId="1" applyFont="1" applyFill="1" applyAlignment="1" applyProtection="1">
      <alignment horizontal="right"/>
    </xf>
    <xf numFmtId="169" fontId="30" fillId="12" borderId="1" xfId="2" applyNumberFormat="1" applyFont="1" applyFill="1" applyBorder="1" applyAlignment="1" applyProtection="1">
      <alignment horizontal="left"/>
    </xf>
    <xf numFmtId="14" fontId="0" fillId="12" borderId="1" xfId="0" applyNumberFormat="1" applyFill="1" applyBorder="1" applyAlignment="1" applyProtection="1">
      <alignment horizontal="left"/>
    </xf>
    <xf numFmtId="0" fontId="0" fillId="12" borderId="0" xfId="0" applyFill="1" applyAlignment="1" applyProtection="1">
      <alignment horizontal="left" vertical="center"/>
    </xf>
    <xf numFmtId="0" fontId="0" fillId="12" borderId="19" xfId="0" applyFill="1" applyBorder="1" applyAlignment="1" applyProtection="1">
      <alignment horizontal="left" vertical="center"/>
    </xf>
    <xf numFmtId="0" fontId="0" fillId="12" borderId="0" xfId="0" applyFill="1" applyProtection="1"/>
    <xf numFmtId="0" fontId="0" fillId="12" borderId="17" xfId="0" applyFill="1" applyBorder="1" applyAlignment="1" applyProtection="1">
      <alignment horizontal="left" vertical="center"/>
    </xf>
    <xf numFmtId="0" fontId="0" fillId="12" borderId="18" xfId="0" applyFill="1" applyBorder="1" applyProtection="1"/>
    <xf numFmtId="0" fontId="0" fillId="12" borderId="12" xfId="0" applyFill="1" applyBorder="1" applyAlignment="1" applyProtection="1">
      <alignment horizontal="left" vertical="center"/>
    </xf>
    <xf numFmtId="0" fontId="0" fillId="12" borderId="13" xfId="0" applyFill="1" applyBorder="1" applyAlignment="1" applyProtection="1">
      <alignment horizontal="left" vertical="center"/>
    </xf>
    <xf numFmtId="0" fontId="0" fillId="12" borderId="14" xfId="0" applyFill="1" applyBorder="1" applyAlignment="1" applyProtection="1">
      <alignment horizontal="left" vertical="center"/>
    </xf>
    <xf numFmtId="0" fontId="0" fillId="12" borderId="15" xfId="0" applyFill="1" applyBorder="1" applyAlignment="1" applyProtection="1">
      <alignment horizontal="left" vertical="center"/>
    </xf>
    <xf numFmtId="0" fontId="0" fillId="12" borderId="16" xfId="0" applyFill="1" applyBorder="1" applyAlignment="1" applyProtection="1">
      <alignment horizontal="left" vertical="center"/>
    </xf>
    <xf numFmtId="0" fontId="0" fillId="12" borderId="6" xfId="0" applyFill="1" applyBorder="1" applyAlignment="1" applyProtection="1">
      <alignment horizontal="left" vertical="center" wrapText="1"/>
    </xf>
    <xf numFmtId="0" fontId="0" fillId="12" borderId="6" xfId="0" applyFill="1" applyBorder="1" applyAlignment="1" applyProtection="1">
      <alignment horizontal="center" vertical="center" wrapText="1"/>
    </xf>
    <xf numFmtId="0" fontId="0" fillId="12" borderId="6" xfId="0" applyFill="1" applyBorder="1" applyAlignment="1" applyProtection="1">
      <alignment vertical="center" wrapText="1"/>
    </xf>
    <xf numFmtId="0" fontId="0" fillId="12" borderId="6" xfId="0" applyFill="1" applyBorder="1" applyProtection="1"/>
    <xf numFmtId="0" fontId="0" fillId="12" borderId="0" xfId="0" applyFill="1" applyBorder="1" applyAlignment="1" applyProtection="1">
      <alignment horizontal="left" vertical="center" wrapText="1"/>
    </xf>
    <xf numFmtId="0" fontId="0" fillId="12" borderId="0" xfId="0" applyFill="1" applyBorder="1" applyAlignment="1" applyProtection="1">
      <alignment vertical="center" wrapText="1"/>
    </xf>
    <xf numFmtId="0" fontId="0" fillId="12" borderId="0" xfId="0" applyFill="1" applyBorder="1" applyProtection="1"/>
    <xf numFmtId="0" fontId="0" fillId="12" borderId="0" xfId="0" applyFill="1"/>
    <xf numFmtId="0" fontId="0" fillId="12" borderId="0" xfId="0" applyFill="1" applyBorder="1" applyAlignment="1">
      <alignment vertical="center" wrapText="1"/>
    </xf>
    <xf numFmtId="0" fontId="0" fillId="23" borderId="0" xfId="0" applyFill="1" applyBorder="1"/>
    <xf numFmtId="0" fontId="0" fillId="23" borderId="0" xfId="0" applyFill="1" applyBorder="1" applyAlignment="1">
      <alignment horizontal="center" vertical="center" wrapText="1"/>
    </xf>
    <xf numFmtId="0" fontId="0" fillId="23" borderId="0" xfId="0" applyFill="1" applyBorder="1" applyAlignment="1">
      <alignment vertical="center" wrapText="1"/>
    </xf>
    <xf numFmtId="0" fontId="0" fillId="23" borderId="0" xfId="0" applyFill="1"/>
    <xf numFmtId="0" fontId="10" fillId="16" borderId="0" xfId="0" applyFont="1" applyFill="1" applyAlignment="1">
      <alignment horizontal="center" vertical="center"/>
    </xf>
    <xf numFmtId="0" fontId="28" fillId="20" borderId="0" xfId="0" applyFont="1" applyFill="1" applyAlignment="1">
      <alignment horizontal="right" vertical="center"/>
    </xf>
    <xf numFmtId="0" fontId="0" fillId="12" borderId="0" xfId="0" applyFill="1"/>
    <xf numFmtId="0" fontId="34" fillId="9" borderId="0" xfId="0" applyFont="1" applyFill="1" applyBorder="1" applyAlignment="1"/>
    <xf numFmtId="0" fontId="0" fillId="9" borderId="0" xfId="0" applyFill="1" applyBorder="1"/>
    <xf numFmtId="0" fontId="55" fillId="16" borderId="0" xfId="0" applyFont="1" applyFill="1" applyAlignment="1">
      <alignment vertical="center"/>
    </xf>
    <xf numFmtId="0" fontId="1" fillId="16" borderId="0" xfId="0" applyFont="1" applyFill="1" applyAlignment="1">
      <alignment vertical="center"/>
    </xf>
    <xf numFmtId="0" fontId="1" fillId="16" borderId="0" xfId="0" applyFont="1" applyFill="1" applyAlignment="1">
      <alignment horizontal="center" vertical="center"/>
    </xf>
    <xf numFmtId="0" fontId="1" fillId="16" borderId="0" xfId="0" applyFont="1" applyFill="1" applyAlignment="1">
      <alignment horizontal="right" vertical="center"/>
    </xf>
    <xf numFmtId="1" fontId="55" fillId="16" borderId="0" xfId="0" applyNumberFormat="1" applyFont="1" applyFill="1" applyAlignment="1">
      <alignment horizontal="center" vertical="center"/>
    </xf>
    <xf numFmtId="1" fontId="10" fillId="16" borderId="0" xfId="0" applyNumberFormat="1" applyFont="1" applyFill="1" applyAlignment="1">
      <alignment vertical="center"/>
    </xf>
    <xf numFmtId="1" fontId="58" fillId="16" borderId="0" xfId="0" applyNumberFormat="1" applyFont="1" applyFill="1" applyAlignment="1">
      <alignment horizontal="center" vertical="center"/>
    </xf>
    <xf numFmtId="0" fontId="0" fillId="16" borderId="0" xfId="0" applyFill="1"/>
    <xf numFmtId="0" fontId="0" fillId="20" borderId="0" xfId="0" applyFill="1"/>
    <xf numFmtId="0" fontId="61" fillId="12" borderId="0" xfId="0" applyFont="1" applyFill="1" applyProtection="1"/>
    <xf numFmtId="0" fontId="61" fillId="0" borderId="0" xfId="0" applyFont="1" applyProtection="1"/>
    <xf numFmtId="0" fontId="28" fillId="16" borderId="0" xfId="0" applyFont="1" applyFill="1" applyAlignment="1" applyProtection="1">
      <alignment horizontal="right" vertical="center"/>
    </xf>
    <xf numFmtId="14" fontId="17" fillId="16" borderId="0" xfId="0" applyNumberFormat="1" applyFont="1" applyFill="1" applyAlignment="1" applyProtection="1">
      <alignment horizontal="center" vertical="center"/>
    </xf>
    <xf numFmtId="0" fontId="10" fillId="16" borderId="0" xfId="0" applyFont="1" applyFill="1" applyAlignment="1" applyProtection="1">
      <alignment horizontal="center" vertical="center"/>
    </xf>
    <xf numFmtId="0" fontId="10" fillId="16" borderId="0" xfId="0" applyFont="1" applyFill="1" applyAlignment="1" applyProtection="1">
      <alignment vertical="center"/>
    </xf>
    <xf numFmtId="0" fontId="0" fillId="12" borderId="0" xfId="0" applyFill="1" applyBorder="1" applyAlignment="1" applyProtection="1">
      <alignment horizontal="left"/>
    </xf>
    <xf numFmtId="0" fontId="0" fillId="12" borderId="0" xfId="0" applyFill="1"/>
    <xf numFmtId="0" fontId="0" fillId="12" borderId="0" xfId="0" applyFill="1" applyBorder="1" applyAlignment="1">
      <alignment horizontal="center" vertical="center" wrapText="1"/>
    </xf>
    <xf numFmtId="0" fontId="62" fillId="20" borderId="0" xfId="0" applyFont="1" applyFill="1"/>
    <xf numFmtId="0" fontId="0" fillId="12" borderId="13" xfId="0" applyFill="1" applyBorder="1" applyAlignment="1">
      <alignment horizontal="center" vertical="center" wrapText="1"/>
    </xf>
    <xf numFmtId="0" fontId="34" fillId="12" borderId="0" xfId="0" applyFont="1" applyFill="1" applyBorder="1" applyAlignment="1">
      <alignment vertical="center" wrapText="1"/>
    </xf>
    <xf numFmtId="0" fontId="0" fillId="12" borderId="15" xfId="0" applyFill="1" applyBorder="1" applyAlignment="1">
      <alignment horizontal="center" vertical="center" wrapText="1"/>
    </xf>
    <xf numFmtId="0" fontId="34" fillId="12" borderId="15" xfId="0" applyFont="1" applyFill="1" applyBorder="1" applyAlignment="1">
      <alignment vertical="center" wrapText="1"/>
    </xf>
    <xf numFmtId="0" fontId="10" fillId="16" borderId="0" xfId="0" applyFont="1" applyFill="1" applyBorder="1" applyAlignment="1">
      <alignment vertical="center"/>
    </xf>
    <xf numFmtId="0" fontId="66" fillId="12" borderId="0" xfId="0" applyFont="1" applyFill="1" applyAlignment="1" applyProtection="1">
      <alignment horizontal="center" vertical="center"/>
      <protection locked="0"/>
    </xf>
    <xf numFmtId="0" fontId="63" fillId="20" borderId="0" xfId="0" applyFont="1" applyFill="1" applyAlignment="1">
      <alignment horizontal="right" vertical="center"/>
    </xf>
    <xf numFmtId="0" fontId="68" fillId="16" borderId="0" xfId="0" applyFont="1" applyFill="1" applyAlignment="1">
      <alignment vertical="center"/>
    </xf>
    <xf numFmtId="0" fontId="68" fillId="16" borderId="0" xfId="0" applyFont="1" applyFill="1" applyAlignment="1" applyProtection="1">
      <alignment vertical="center"/>
    </xf>
    <xf numFmtId="14" fontId="68" fillId="16" borderId="0" xfId="0" applyNumberFormat="1" applyFont="1" applyFill="1" applyAlignment="1">
      <alignment vertical="center"/>
    </xf>
    <xf numFmtId="169" fontId="68" fillId="16" borderId="0" xfId="0" applyNumberFormat="1" applyFont="1" applyFill="1" applyAlignment="1">
      <alignment horizontal="left" vertical="center"/>
    </xf>
    <xf numFmtId="0" fontId="69" fillId="3" borderId="0" xfId="0" applyFont="1" applyFill="1" applyAlignment="1" applyProtection="1">
      <alignment vertical="center"/>
    </xf>
    <xf numFmtId="0" fontId="70" fillId="3" borderId="0" xfId="0" applyFont="1" applyFill="1" applyAlignment="1" applyProtection="1">
      <alignment vertical="center"/>
    </xf>
    <xf numFmtId="0" fontId="69" fillId="0" borderId="0" xfId="0" applyFont="1" applyAlignment="1">
      <alignment vertical="center"/>
    </xf>
    <xf numFmtId="0" fontId="69" fillId="3" borderId="0" xfId="0" applyFont="1" applyFill="1" applyBorder="1" applyAlignment="1" applyProtection="1">
      <alignment vertical="center"/>
    </xf>
    <xf numFmtId="0" fontId="71" fillId="3" borderId="0" xfId="1" applyFont="1" applyFill="1" applyBorder="1" applyAlignment="1" applyProtection="1"/>
    <xf numFmtId="0" fontId="72" fillId="3" borderId="0" xfId="0" applyFont="1" applyFill="1" applyBorder="1" applyAlignment="1" applyProtection="1"/>
    <xf numFmtId="0" fontId="69" fillId="3" borderId="7" xfId="0" applyFont="1" applyFill="1" applyBorder="1" applyAlignment="1" applyProtection="1">
      <alignment vertical="center"/>
    </xf>
    <xf numFmtId="0" fontId="71" fillId="3" borderId="7" xfId="1" applyFont="1" applyFill="1" applyBorder="1" applyAlignment="1" applyProtection="1"/>
    <xf numFmtId="0" fontId="72" fillId="3" borderId="7" xfId="0" applyFont="1" applyFill="1" applyBorder="1" applyAlignment="1" applyProtection="1"/>
    <xf numFmtId="14" fontId="69" fillId="0" borderId="0" xfId="0" applyNumberFormat="1" applyFont="1" applyAlignment="1">
      <alignment vertical="center"/>
    </xf>
    <xf numFmtId="0" fontId="69" fillId="3" borderId="0" xfId="0" applyFont="1" applyFill="1" applyAlignment="1" applyProtection="1">
      <alignment horizontal="right" vertical="center"/>
    </xf>
    <xf numFmtId="0" fontId="73" fillId="3" borderId="0" xfId="0" applyFont="1" applyFill="1" applyAlignment="1" applyProtection="1">
      <alignment vertical="center"/>
    </xf>
    <xf numFmtId="0" fontId="69" fillId="25" borderId="10" xfId="0" applyFont="1" applyFill="1" applyBorder="1" applyAlignment="1">
      <alignment vertical="center"/>
    </xf>
    <xf numFmtId="0" fontId="75" fillId="25" borderId="11" xfId="0" applyFont="1" applyFill="1" applyBorder="1" applyAlignment="1">
      <alignment vertical="center"/>
    </xf>
    <xf numFmtId="14" fontId="69" fillId="25" borderId="11" xfId="0" applyNumberFormat="1" applyFont="1" applyFill="1" applyBorder="1" applyAlignment="1">
      <alignment vertical="center"/>
    </xf>
    <xf numFmtId="0" fontId="69" fillId="25" borderId="26" xfId="0" applyFont="1" applyFill="1" applyBorder="1" applyAlignment="1">
      <alignment vertical="center"/>
    </xf>
    <xf numFmtId="0" fontId="73" fillId="3" borderId="0" xfId="0" applyFont="1" applyFill="1" applyAlignment="1" applyProtection="1">
      <alignment vertical="top"/>
    </xf>
    <xf numFmtId="14" fontId="69" fillId="9" borderId="0" xfId="0" applyNumberFormat="1" applyFont="1" applyFill="1" applyAlignment="1">
      <alignment vertical="center"/>
    </xf>
    <xf numFmtId="14" fontId="69" fillId="24" borderId="0" xfId="0" applyNumberFormat="1" applyFont="1" applyFill="1" applyAlignment="1">
      <alignment vertical="center"/>
    </xf>
    <xf numFmtId="0" fontId="69" fillId="0" borderId="0" xfId="0" applyFont="1" applyFill="1" applyAlignment="1">
      <alignment vertical="center"/>
    </xf>
    <xf numFmtId="0" fontId="74" fillId="3" borderId="0" xfId="0" applyFont="1" applyFill="1" applyAlignment="1" applyProtection="1">
      <alignment vertical="center"/>
    </xf>
    <xf numFmtId="0" fontId="69" fillId="0" borderId="0" xfId="0" applyFont="1" applyAlignment="1" applyProtection="1">
      <alignment vertical="center"/>
    </xf>
    <xf numFmtId="0" fontId="74" fillId="0" borderId="0" xfId="0" applyFont="1" applyAlignment="1">
      <alignment vertical="center"/>
    </xf>
    <xf numFmtId="0" fontId="69" fillId="9" borderId="0" xfId="0" applyFont="1" applyFill="1" applyAlignment="1">
      <alignment vertical="center"/>
    </xf>
    <xf numFmtId="0" fontId="69" fillId="0" borderId="0" xfId="0" applyFont="1" applyAlignment="1">
      <alignment horizontal="left" vertical="center"/>
    </xf>
    <xf numFmtId="0" fontId="69" fillId="4" borderId="0" xfId="0" applyFont="1" applyFill="1" applyAlignment="1">
      <alignment vertical="center"/>
    </xf>
    <xf numFmtId="0" fontId="69" fillId="4" borderId="0" xfId="0" applyNumberFormat="1" applyFont="1" applyFill="1" applyAlignment="1">
      <alignment vertical="center"/>
    </xf>
    <xf numFmtId="14" fontId="69" fillId="4" borderId="0" xfId="0" applyNumberFormat="1" applyFont="1" applyFill="1" applyAlignment="1">
      <alignment vertical="center"/>
    </xf>
    <xf numFmtId="0" fontId="74" fillId="12" borderId="0" xfId="0" applyFont="1" applyFill="1" applyAlignment="1" applyProtection="1">
      <alignment vertical="center"/>
    </xf>
    <xf numFmtId="0" fontId="74" fillId="3" borderId="0" xfId="0" applyFont="1" applyFill="1" applyAlignment="1" applyProtection="1">
      <alignment horizontal="right" vertical="center"/>
    </xf>
    <xf numFmtId="0" fontId="69" fillId="12" borderId="0" xfId="0" applyFont="1" applyFill="1" applyAlignment="1">
      <alignment vertical="center"/>
    </xf>
    <xf numFmtId="0" fontId="76" fillId="3" borderId="0" xfId="0" applyFont="1" applyFill="1" applyAlignment="1" applyProtection="1">
      <alignment vertical="center"/>
    </xf>
    <xf numFmtId="0" fontId="69" fillId="9" borderId="0" xfId="0" applyFont="1" applyFill="1" applyAlignment="1">
      <alignment horizontal="left" vertical="center"/>
    </xf>
    <xf numFmtId="0" fontId="74" fillId="0" borderId="0" xfId="0" applyFont="1" applyAlignment="1" applyProtection="1">
      <alignment vertical="center"/>
    </xf>
    <xf numFmtId="167" fontId="69" fillId="4" borderId="0" xfId="0" applyNumberFormat="1" applyFont="1" applyFill="1" applyAlignment="1">
      <alignment vertical="center"/>
    </xf>
    <xf numFmtId="0" fontId="74" fillId="3" borderId="0" xfId="0" applyFont="1" applyFill="1" applyAlignment="1" applyProtection="1">
      <alignment horizontal="left" vertical="center"/>
    </xf>
    <xf numFmtId="0" fontId="74" fillId="3" borderId="6" xfId="0" applyFont="1" applyFill="1" applyBorder="1" applyAlignment="1" applyProtection="1">
      <alignment vertical="center"/>
    </xf>
    <xf numFmtId="0" fontId="74" fillId="3" borderId="6" xfId="0" applyFont="1" applyFill="1" applyBorder="1" applyAlignment="1" applyProtection="1">
      <alignment horizontal="left" vertical="center"/>
    </xf>
    <xf numFmtId="168" fontId="69" fillId="9" borderId="0" xfId="3" applyNumberFormat="1" applyFont="1" applyFill="1" applyAlignment="1">
      <alignment vertical="center"/>
    </xf>
    <xf numFmtId="0" fontId="69" fillId="10" borderId="0" xfId="0" applyFont="1" applyFill="1" applyAlignment="1">
      <alignment vertical="center"/>
    </xf>
    <xf numFmtId="0" fontId="74" fillId="3" borderId="0" xfId="0" applyFont="1" applyFill="1" applyBorder="1" applyAlignment="1" applyProtection="1">
      <alignment vertical="center"/>
    </xf>
    <xf numFmtId="0" fontId="69" fillId="0" borderId="0" xfId="0" applyNumberFormat="1" applyFont="1" applyFill="1" applyAlignment="1">
      <alignment vertical="center"/>
    </xf>
    <xf numFmtId="0" fontId="31" fillId="12" borderId="0" xfId="0" applyFont="1" applyFill="1" applyBorder="1" applyAlignment="1" applyProtection="1">
      <alignment vertical="center"/>
    </xf>
    <xf numFmtId="0" fontId="0" fillId="0" borderId="0" xfId="0" applyFont="1" applyAlignment="1">
      <alignment vertical="center" wrapText="1"/>
    </xf>
    <xf numFmtId="0" fontId="0" fillId="5" borderId="0" xfId="0" applyFont="1" applyFill="1" applyAlignment="1">
      <alignment vertical="center" wrapText="1"/>
    </xf>
    <xf numFmtId="0" fontId="69" fillId="5" borderId="0" xfId="0" applyFont="1" applyFill="1" applyAlignment="1">
      <alignment vertical="center"/>
    </xf>
    <xf numFmtId="2" fontId="69" fillId="5" borderId="0" xfId="0" applyNumberFormat="1" applyFont="1" applyFill="1" applyAlignment="1">
      <alignment vertical="center"/>
    </xf>
    <xf numFmtId="165" fontId="31" fillId="12" borderId="0" xfId="2" applyFont="1" applyFill="1" applyBorder="1" applyAlignment="1" applyProtection="1">
      <alignment horizontal="left" vertical="center"/>
    </xf>
    <xf numFmtId="0" fontId="77" fillId="0" borderId="0" xfId="0" applyFont="1" applyAlignment="1" applyProtection="1">
      <alignment vertical="center"/>
    </xf>
    <xf numFmtId="0" fontId="74" fillId="0" borderId="0" xfId="0" applyFont="1" applyAlignment="1" applyProtection="1">
      <alignment horizontal="center" vertical="center"/>
    </xf>
    <xf numFmtId="0" fontId="78" fillId="3" borderId="0" xfId="0" applyFont="1" applyFill="1" applyAlignment="1" applyProtection="1">
      <alignment vertical="center"/>
    </xf>
    <xf numFmtId="0" fontId="77" fillId="3" borderId="0" xfId="0" applyFont="1" applyFill="1" applyBorder="1" applyAlignment="1" applyProtection="1">
      <alignment vertical="center"/>
    </xf>
    <xf numFmtId="0" fontId="74" fillId="3" borderId="0" xfId="0" applyFont="1" applyFill="1" applyAlignment="1">
      <alignment vertical="center"/>
    </xf>
    <xf numFmtId="0" fontId="75" fillId="0" borderId="0" xfId="0" applyFont="1" applyAlignment="1">
      <alignment vertical="center"/>
    </xf>
    <xf numFmtId="165" fontId="75" fillId="0" borderId="0" xfId="2" applyFont="1" applyAlignment="1">
      <alignment vertical="center"/>
    </xf>
    <xf numFmtId="0" fontId="69" fillId="12" borderId="0" xfId="0" applyFont="1" applyFill="1" applyAlignment="1" applyProtection="1">
      <alignment vertical="center"/>
    </xf>
    <xf numFmtId="165" fontId="69" fillId="0" borderId="0" xfId="2" applyFont="1" applyAlignment="1">
      <alignment vertical="center"/>
    </xf>
    <xf numFmtId="10" fontId="69" fillId="0" borderId="0" xfId="0" applyNumberFormat="1" applyFont="1" applyAlignment="1">
      <alignment vertical="center"/>
    </xf>
    <xf numFmtId="165" fontId="69" fillId="0" borderId="0" xfId="0" applyNumberFormat="1" applyFont="1" applyAlignment="1">
      <alignment vertical="center"/>
    </xf>
    <xf numFmtId="0" fontId="74" fillId="12" borderId="0" xfId="0" applyFont="1" applyFill="1" applyBorder="1" applyAlignment="1" applyProtection="1">
      <alignment vertical="center"/>
    </xf>
    <xf numFmtId="9" fontId="69" fillId="0" borderId="0" xfId="0" applyNumberFormat="1" applyFont="1" applyAlignment="1">
      <alignment vertical="center"/>
    </xf>
    <xf numFmtId="0" fontId="69" fillId="3" borderId="0" xfId="0" applyFont="1" applyFill="1" applyAlignment="1">
      <alignment vertical="center"/>
    </xf>
    <xf numFmtId="1" fontId="74" fillId="12" borderId="0" xfId="0" applyNumberFormat="1" applyFont="1" applyFill="1" applyBorder="1" applyAlignment="1" applyProtection="1">
      <alignment vertical="center"/>
    </xf>
    <xf numFmtId="167" fontId="31" fillId="12" borderId="0" xfId="0" applyNumberFormat="1" applyFont="1" applyFill="1" applyBorder="1" applyAlignment="1" applyProtection="1">
      <alignment horizontal="center" vertical="center"/>
    </xf>
    <xf numFmtId="0" fontId="31" fillId="12" borderId="0" xfId="0" applyFont="1" applyFill="1" applyBorder="1" applyAlignment="1" applyProtection="1">
      <alignment horizontal="center" vertical="center"/>
    </xf>
    <xf numFmtId="165" fontId="75" fillId="0" borderId="0" xfId="0" applyNumberFormat="1" applyFont="1" applyAlignment="1">
      <alignment vertical="center"/>
    </xf>
    <xf numFmtId="0" fontId="74" fillId="0" borderId="0" xfId="0" applyFont="1" applyFill="1" applyBorder="1" applyAlignment="1" applyProtection="1">
      <alignment vertical="center"/>
    </xf>
    <xf numFmtId="167" fontId="75" fillId="0" borderId="0" xfId="0" applyNumberFormat="1" applyFont="1" applyAlignment="1">
      <alignment vertical="center"/>
    </xf>
    <xf numFmtId="165" fontId="31" fillId="12" borderId="0" xfId="2" applyFont="1" applyFill="1" applyBorder="1" applyAlignment="1" applyProtection="1">
      <alignment horizontal="center" vertical="center"/>
    </xf>
    <xf numFmtId="0" fontId="80" fillId="12" borderId="0" xfId="0" applyFont="1" applyFill="1" applyAlignment="1" applyProtection="1">
      <alignment vertical="center"/>
    </xf>
    <xf numFmtId="167" fontId="69" fillId="0" borderId="0" xfId="0" applyNumberFormat="1" applyFont="1" applyAlignment="1">
      <alignment vertical="center"/>
    </xf>
    <xf numFmtId="43" fontId="69" fillId="0" borderId="0" xfId="0" applyNumberFormat="1" applyFont="1" applyAlignment="1">
      <alignment vertical="center"/>
    </xf>
    <xf numFmtId="0" fontId="78" fillId="3" borderId="0" xfId="0" applyFont="1" applyFill="1" applyAlignment="1">
      <alignment vertical="center" wrapText="1"/>
    </xf>
    <xf numFmtId="165" fontId="74" fillId="12" borderId="0" xfId="2" applyFont="1" applyFill="1" applyAlignment="1">
      <alignment vertical="center"/>
    </xf>
    <xf numFmtId="0" fontId="78" fillId="12" borderId="0" xfId="0" applyFont="1" applyFill="1" applyAlignment="1">
      <alignment vertical="center" wrapText="1"/>
    </xf>
    <xf numFmtId="0" fontId="73" fillId="3" borderId="8" xfId="0" applyFont="1" applyFill="1" applyBorder="1" applyAlignment="1" applyProtection="1">
      <alignment vertical="center"/>
    </xf>
    <xf numFmtId="0" fontId="74" fillId="3" borderId="9" xfId="0" applyFont="1" applyFill="1" applyBorder="1" applyAlignment="1" applyProtection="1">
      <alignment vertical="center"/>
    </xf>
    <xf numFmtId="165" fontId="73" fillId="3" borderId="0" xfId="2" applyFont="1" applyFill="1" applyBorder="1" applyAlignment="1" applyProtection="1">
      <alignment vertical="center"/>
    </xf>
    <xf numFmtId="0" fontId="78" fillId="12" borderId="0" xfId="0" applyFont="1" applyFill="1" applyAlignment="1" applyProtection="1">
      <alignment vertical="center" wrapText="1"/>
    </xf>
    <xf numFmtId="0" fontId="73" fillId="3" borderId="10" xfId="0" applyFont="1" applyFill="1" applyBorder="1" applyAlignment="1" applyProtection="1">
      <alignment vertical="center"/>
    </xf>
    <xf numFmtId="0" fontId="73" fillId="3" borderId="11" xfId="0" applyFont="1" applyFill="1" applyBorder="1" applyAlignment="1" applyProtection="1">
      <alignment vertical="center"/>
    </xf>
    <xf numFmtId="0" fontId="69" fillId="12" borderId="27" xfId="0" applyFont="1" applyFill="1" applyBorder="1" applyAlignment="1">
      <alignment vertical="center"/>
    </xf>
    <xf numFmtId="0" fontId="69" fillId="12" borderId="28" xfId="0" applyFont="1" applyFill="1" applyBorder="1" applyAlignment="1">
      <alignment vertical="center"/>
    </xf>
    <xf numFmtId="0" fontId="69" fillId="12" borderId="2" xfId="0" applyFont="1" applyFill="1" applyBorder="1" applyAlignment="1">
      <alignment vertical="center"/>
    </xf>
    <xf numFmtId="0" fontId="69" fillId="12" borderId="3" xfId="0" applyFont="1" applyFill="1" applyBorder="1" applyAlignment="1">
      <alignment vertical="center"/>
    </xf>
    <xf numFmtId="1" fontId="69" fillId="12" borderId="0" xfId="0" applyNumberFormat="1" applyFont="1" applyFill="1" applyBorder="1" applyAlignment="1">
      <alignment vertical="center"/>
    </xf>
    <xf numFmtId="2" fontId="69" fillId="12" borderId="0" xfId="0" applyNumberFormat="1" applyFont="1" applyFill="1" applyBorder="1" applyAlignment="1">
      <alignment vertical="center"/>
    </xf>
    <xf numFmtId="0" fontId="69" fillId="12" borderId="4" xfId="0" applyFont="1" applyFill="1" applyBorder="1" applyAlignment="1">
      <alignment vertical="center"/>
    </xf>
    <xf numFmtId="0" fontId="74" fillId="12" borderId="0" xfId="0" applyFont="1" applyFill="1" applyAlignment="1">
      <alignment vertical="center"/>
    </xf>
    <xf numFmtId="0" fontId="69" fillId="12" borderId="0" xfId="0" applyFont="1" applyFill="1" applyBorder="1" applyAlignment="1">
      <alignment vertical="center"/>
    </xf>
    <xf numFmtId="0" fontId="74" fillId="0" borderId="0" xfId="0" applyFont="1" applyAlignment="1">
      <alignment horizontal="center" vertical="center"/>
    </xf>
    <xf numFmtId="0" fontId="74" fillId="0" borderId="0" xfId="0" applyFont="1" applyAlignment="1">
      <alignment horizontal="right" vertical="center"/>
    </xf>
    <xf numFmtId="0" fontId="69" fillId="12" borderId="29" xfId="0" applyFont="1" applyFill="1" applyBorder="1" applyAlignment="1">
      <alignment vertical="center"/>
    </xf>
    <xf numFmtId="170" fontId="69" fillId="12" borderId="7" xfId="0" applyNumberFormat="1" applyFont="1" applyFill="1" applyBorder="1" applyAlignment="1">
      <alignment vertical="center"/>
    </xf>
    <xf numFmtId="1" fontId="69" fillId="12" borderId="7" xfId="0" applyNumberFormat="1" applyFont="1" applyFill="1" applyBorder="1" applyAlignment="1">
      <alignment vertical="center"/>
    </xf>
    <xf numFmtId="1" fontId="69" fillId="12" borderId="5" xfId="0" applyNumberFormat="1" applyFont="1" applyFill="1" applyBorder="1" applyAlignment="1">
      <alignment vertical="center"/>
    </xf>
    <xf numFmtId="0" fontId="73" fillId="0" borderId="0" xfId="0" applyFont="1" applyAlignment="1">
      <alignment horizontal="right" vertical="center"/>
    </xf>
    <xf numFmtId="165" fontId="73" fillId="0" borderId="0" xfId="2" applyFont="1" applyAlignment="1">
      <alignment horizontal="center" vertical="center"/>
    </xf>
    <xf numFmtId="0" fontId="69" fillId="3" borderId="6" xfId="0" applyFont="1" applyFill="1" applyBorder="1" applyAlignment="1">
      <alignment vertical="center"/>
    </xf>
    <xf numFmtId="0" fontId="69" fillId="0" borderId="6" xfId="0" applyFont="1" applyBorder="1" applyAlignment="1">
      <alignment vertical="center"/>
    </xf>
    <xf numFmtId="0" fontId="74" fillId="12" borderId="0" xfId="0" applyFont="1" applyFill="1" applyAlignment="1" applyProtection="1">
      <alignment horizontal="right" vertical="center"/>
    </xf>
    <xf numFmtId="0" fontId="0" fillId="12" borderId="0" xfId="0" applyFill="1"/>
    <xf numFmtId="165" fontId="30" fillId="12" borderId="0" xfId="2" applyFont="1" applyFill="1" applyBorder="1" applyAlignment="1">
      <alignment horizontal="center"/>
    </xf>
    <xf numFmtId="0" fontId="83" fillId="0" borderId="0" xfId="0" applyFont="1" applyAlignment="1">
      <alignment vertical="center"/>
    </xf>
    <xf numFmtId="165" fontId="30" fillId="12" borderId="18" xfId="2" applyFont="1" applyFill="1" applyBorder="1" applyAlignment="1">
      <alignment horizontal="center"/>
    </xf>
    <xf numFmtId="0" fontId="69" fillId="0" borderId="40" xfId="0" applyFont="1" applyBorder="1" applyAlignment="1">
      <alignment vertical="center"/>
    </xf>
    <xf numFmtId="0" fontId="69" fillId="0" borderId="24" xfId="0" applyFont="1" applyBorder="1" applyAlignment="1">
      <alignment vertical="center"/>
    </xf>
    <xf numFmtId="0" fontId="69" fillId="0" borderId="41" xfId="0" applyFont="1" applyBorder="1" applyAlignment="1">
      <alignment vertical="center"/>
    </xf>
    <xf numFmtId="165" fontId="69" fillId="0" borderId="21" xfId="2" applyFont="1" applyBorder="1" applyAlignment="1">
      <alignment vertical="center"/>
    </xf>
    <xf numFmtId="0" fontId="69" fillId="0" borderId="0" xfId="0" applyFont="1" applyBorder="1" applyAlignment="1">
      <alignment vertical="center"/>
    </xf>
    <xf numFmtId="0" fontId="69" fillId="0" borderId="20" xfId="0" applyFont="1" applyBorder="1" applyAlignment="1">
      <alignment vertical="center"/>
    </xf>
    <xf numFmtId="0" fontId="69" fillId="0" borderId="42" xfId="0" applyFont="1" applyBorder="1" applyAlignment="1">
      <alignment vertical="center"/>
    </xf>
    <xf numFmtId="0" fontId="69" fillId="0" borderId="43" xfId="0" applyFont="1" applyBorder="1" applyAlignment="1">
      <alignment vertical="center"/>
    </xf>
    <xf numFmtId="0" fontId="10" fillId="16" borderId="6" xfId="0" applyFont="1" applyFill="1" applyBorder="1" applyAlignment="1">
      <alignment horizontal="center" vertical="center"/>
    </xf>
    <xf numFmtId="0" fontId="69" fillId="27" borderId="0" xfId="0" applyFont="1" applyFill="1" applyAlignment="1">
      <alignment vertical="center"/>
    </xf>
    <xf numFmtId="14" fontId="69" fillId="27" borderId="0" xfId="0" applyNumberFormat="1" applyFont="1" applyFill="1" applyAlignment="1">
      <alignment vertical="center"/>
    </xf>
    <xf numFmtId="0" fontId="55" fillId="28" borderId="0" xfId="0" applyFont="1" applyFill="1" applyAlignment="1">
      <alignment vertical="center"/>
    </xf>
    <xf numFmtId="0" fontId="57" fillId="28" borderId="0" xfId="0" applyFont="1" applyFill="1" applyAlignment="1">
      <alignment horizontal="center" vertical="center"/>
    </xf>
    <xf numFmtId="0" fontId="55" fillId="16" borderId="0" xfId="0" applyFont="1" applyFill="1" applyAlignment="1">
      <alignment horizontal="left" vertical="center"/>
    </xf>
    <xf numFmtId="0" fontId="10" fillId="28" borderId="0" xfId="0" applyFont="1" applyFill="1" applyAlignment="1">
      <alignment vertical="center"/>
    </xf>
    <xf numFmtId="0" fontId="69" fillId="27" borderId="40" xfId="0" applyFont="1" applyFill="1" applyBorder="1" applyAlignment="1">
      <alignment vertical="center"/>
    </xf>
    <xf numFmtId="0" fontId="69" fillId="27" borderId="24" xfId="0" applyFont="1" applyFill="1" applyBorder="1" applyAlignment="1">
      <alignment vertical="center"/>
    </xf>
    <xf numFmtId="0" fontId="69" fillId="27" borderId="41" xfId="0" applyFont="1" applyFill="1" applyBorder="1" applyAlignment="1">
      <alignment vertical="center"/>
    </xf>
    <xf numFmtId="0" fontId="69" fillId="27" borderId="21" xfId="0" applyFont="1" applyFill="1" applyBorder="1" applyAlignment="1">
      <alignment vertical="center"/>
    </xf>
    <xf numFmtId="0" fontId="69" fillId="27" borderId="0" xfId="0" applyFont="1" applyFill="1" applyBorder="1" applyAlignment="1">
      <alignment vertical="center"/>
    </xf>
    <xf numFmtId="0" fontId="69" fillId="27" borderId="20" xfId="0" applyFont="1" applyFill="1" applyBorder="1" applyAlignment="1">
      <alignment vertical="center"/>
    </xf>
    <xf numFmtId="0" fontId="69" fillId="27" borderId="42" xfId="0" applyFont="1" applyFill="1" applyBorder="1" applyAlignment="1">
      <alignment vertical="center"/>
    </xf>
    <xf numFmtId="0" fontId="69" fillId="27" borderId="43" xfId="0" applyFont="1" applyFill="1" applyBorder="1" applyAlignment="1">
      <alignment vertical="center"/>
    </xf>
    <xf numFmtId="165" fontId="69" fillId="27" borderId="0" xfId="0" applyNumberFormat="1" applyFont="1" applyFill="1" applyBorder="1" applyAlignment="1">
      <alignment vertical="center"/>
    </xf>
    <xf numFmtId="165" fontId="69" fillId="27" borderId="6" xfId="2" applyFont="1" applyFill="1" applyBorder="1" applyAlignment="1">
      <alignment vertical="center"/>
    </xf>
    <xf numFmtId="0" fontId="69" fillId="27" borderId="6" xfId="0" applyFont="1" applyFill="1" applyBorder="1" applyAlignment="1">
      <alignment vertical="center"/>
    </xf>
    <xf numFmtId="0" fontId="69" fillId="29" borderId="44" xfId="0" applyFont="1" applyFill="1" applyBorder="1" applyAlignment="1">
      <alignment vertical="center"/>
    </xf>
    <xf numFmtId="0" fontId="69" fillId="29" borderId="45" xfId="0" applyFont="1" applyFill="1" applyBorder="1" applyAlignment="1">
      <alignment vertical="center"/>
    </xf>
    <xf numFmtId="0" fontId="69" fillId="29" borderId="46" xfId="0" applyFont="1" applyFill="1" applyBorder="1" applyAlignment="1">
      <alignment vertical="center"/>
    </xf>
    <xf numFmtId="0" fontId="10" fillId="16" borderId="0" xfId="0" applyFont="1" applyFill="1" applyBorder="1" applyAlignment="1">
      <alignment horizontal="center" vertical="center"/>
    </xf>
    <xf numFmtId="0" fontId="10" fillId="28" borderId="0" xfId="0" applyFont="1" applyFill="1" applyBorder="1" applyAlignment="1">
      <alignment horizontal="center" vertical="center"/>
    </xf>
    <xf numFmtId="0" fontId="10" fillId="28" borderId="0" xfId="0" applyFont="1" applyFill="1" applyBorder="1" applyAlignment="1">
      <alignment vertical="center"/>
    </xf>
    <xf numFmtId="165" fontId="43" fillId="12" borderId="0" xfId="2" applyFont="1" applyFill="1" applyBorder="1" applyAlignment="1" applyProtection="1">
      <alignment horizontal="center" vertical="center"/>
    </xf>
    <xf numFmtId="0" fontId="4" fillId="27" borderId="8" xfId="0" applyFont="1" applyFill="1" applyBorder="1" applyAlignment="1">
      <alignment vertical="center"/>
    </xf>
    <xf numFmtId="0" fontId="4" fillId="27" borderId="25" xfId="0" applyFont="1" applyFill="1" applyBorder="1" applyAlignment="1">
      <alignment vertical="center"/>
    </xf>
    <xf numFmtId="0" fontId="4" fillId="27" borderId="9" xfId="0" applyFont="1" applyFill="1" applyBorder="1" applyAlignment="1">
      <alignment vertical="center"/>
    </xf>
    <xf numFmtId="0" fontId="4" fillId="27" borderId="40" xfId="0" applyFont="1" applyFill="1" applyBorder="1" applyAlignment="1">
      <alignment vertical="center"/>
    </xf>
    <xf numFmtId="0" fontId="4" fillId="27" borderId="24" xfId="0" applyFont="1" applyFill="1" applyBorder="1" applyAlignment="1">
      <alignment vertical="center"/>
    </xf>
    <xf numFmtId="0" fontId="4" fillId="27" borderId="41" xfId="0" applyFont="1" applyFill="1" applyBorder="1" applyAlignment="1">
      <alignment vertical="center"/>
    </xf>
    <xf numFmtId="0" fontId="4" fillId="27" borderId="42" xfId="0" applyFont="1" applyFill="1" applyBorder="1" applyAlignment="1">
      <alignment vertical="center"/>
    </xf>
    <xf numFmtId="168" fontId="4" fillId="27" borderId="6" xfId="3" applyNumberFormat="1" applyFont="1" applyFill="1" applyBorder="1" applyAlignment="1">
      <alignment vertical="center"/>
    </xf>
    <xf numFmtId="0" fontId="4" fillId="27" borderId="6" xfId="0" applyFont="1" applyFill="1" applyBorder="1" applyAlignment="1">
      <alignment vertical="center"/>
    </xf>
    <xf numFmtId="0" fontId="4" fillId="27" borderId="43" xfId="0" applyFont="1" applyFill="1" applyBorder="1" applyAlignment="1">
      <alignment vertical="center"/>
    </xf>
    <xf numFmtId="14" fontId="4" fillId="27" borderId="41" xfId="0" applyNumberFormat="1" applyFont="1" applyFill="1" applyBorder="1" applyAlignment="1">
      <alignment vertical="center"/>
    </xf>
    <xf numFmtId="0" fontId="3" fillId="3" borderId="0" xfId="0" applyFont="1" applyFill="1" applyBorder="1" applyAlignment="1" applyProtection="1">
      <alignment vertical="center"/>
    </xf>
    <xf numFmtId="167" fontId="3" fillId="12" borderId="0" xfId="0" applyNumberFormat="1" applyFont="1" applyFill="1" applyBorder="1" applyAlignment="1" applyProtection="1">
      <alignment horizontal="center" vertical="center"/>
    </xf>
    <xf numFmtId="0" fontId="10" fillId="16" borderId="0" xfId="0" applyFont="1" applyFill="1" applyAlignment="1">
      <alignment horizontal="center" vertical="center"/>
    </xf>
    <xf numFmtId="0" fontId="4" fillId="0" borderId="8" xfId="0" applyFont="1" applyBorder="1" applyAlignment="1">
      <alignment vertical="center"/>
    </xf>
    <xf numFmtId="14" fontId="4" fillId="0" borderId="25" xfId="0" applyNumberFormat="1" applyFont="1" applyBorder="1" applyAlignment="1">
      <alignment vertical="center"/>
    </xf>
    <xf numFmtId="0" fontId="1" fillId="12" borderId="11" xfId="0" applyFont="1" applyFill="1" applyBorder="1" applyAlignment="1" applyProtection="1">
      <alignment vertical="center"/>
    </xf>
    <xf numFmtId="0" fontId="44" fillId="12" borderId="11" xfId="0" applyFont="1" applyFill="1" applyBorder="1" applyAlignment="1" applyProtection="1">
      <alignment vertical="center"/>
    </xf>
    <xf numFmtId="0" fontId="45" fillId="12" borderId="11" xfId="0" applyFont="1" applyFill="1" applyBorder="1" applyAlignment="1" applyProtection="1">
      <alignment vertical="center"/>
    </xf>
    <xf numFmtId="0" fontId="4" fillId="0" borderId="11" xfId="0" applyFont="1" applyBorder="1" applyAlignment="1">
      <alignment vertical="center"/>
    </xf>
    <xf numFmtId="0" fontId="3" fillId="3" borderId="3" xfId="0" applyFont="1" applyFill="1" applyBorder="1" applyAlignment="1" applyProtection="1">
      <alignment vertical="center"/>
    </xf>
    <xf numFmtId="0" fontId="4" fillId="12" borderId="11" xfId="0" applyFont="1" applyFill="1" applyBorder="1" applyAlignment="1" applyProtection="1">
      <alignment vertical="center"/>
    </xf>
    <xf numFmtId="0" fontId="0" fillId="15" borderId="0" xfId="0" applyFill="1" applyBorder="1"/>
    <xf numFmtId="0" fontId="69" fillId="9" borderId="8" xfId="0" applyFont="1" applyFill="1" applyBorder="1" applyAlignment="1">
      <alignment vertical="center"/>
    </xf>
    <xf numFmtId="0" fontId="69" fillId="27" borderId="8" xfId="0" applyFont="1" applyFill="1" applyBorder="1" applyAlignment="1">
      <alignment vertical="center"/>
    </xf>
    <xf numFmtId="14" fontId="69" fillId="27" borderId="25" xfId="0" applyNumberFormat="1" applyFont="1" applyFill="1" applyBorder="1" applyAlignment="1">
      <alignment vertical="center"/>
    </xf>
    <xf numFmtId="10" fontId="0" fillId="12" borderId="0" xfId="0" applyNumberFormat="1" applyFill="1" applyBorder="1" applyAlignment="1" applyProtection="1">
      <alignment horizontal="center"/>
    </xf>
    <xf numFmtId="0" fontId="0" fillId="12" borderId="16" xfId="0" applyFill="1" applyBorder="1" applyProtection="1"/>
    <xf numFmtId="165" fontId="30" fillId="12" borderId="0" xfId="2" applyFont="1" applyFill="1" applyBorder="1" applyAlignment="1" applyProtection="1">
      <alignment horizontal="center"/>
    </xf>
    <xf numFmtId="9" fontId="0" fillId="12" borderId="0" xfId="0" applyNumberFormat="1" applyFill="1" applyBorder="1" applyAlignment="1" applyProtection="1">
      <alignment horizontal="center"/>
    </xf>
    <xf numFmtId="165" fontId="30" fillId="12" borderId="18" xfId="2" applyFont="1" applyFill="1" applyBorder="1" applyAlignment="1" applyProtection="1">
      <alignment horizontal="center"/>
    </xf>
    <xf numFmtId="165" fontId="31" fillId="12" borderId="0" xfId="2" applyFont="1" applyFill="1" applyBorder="1" applyAlignment="1" applyProtection="1">
      <alignment horizontal="center" vertical="center"/>
    </xf>
    <xf numFmtId="165" fontId="31" fillId="12" borderId="0" xfId="2" applyFont="1" applyFill="1" applyAlignment="1" applyProtection="1">
      <alignment horizontal="left" vertical="center"/>
    </xf>
    <xf numFmtId="165" fontId="31" fillId="12" borderId="0" xfId="2" applyFont="1" applyFill="1" applyBorder="1" applyAlignment="1" applyProtection="1">
      <alignment horizontal="left" vertical="center"/>
    </xf>
    <xf numFmtId="0" fontId="73" fillId="3" borderId="0" xfId="0" applyFont="1" applyFill="1" applyBorder="1" applyAlignment="1" applyProtection="1">
      <alignment horizontal="center" vertical="center"/>
    </xf>
    <xf numFmtId="0" fontId="74" fillId="12" borderId="0" xfId="0" applyFont="1" applyFill="1" applyAlignment="1" applyProtection="1">
      <alignment horizontal="right" vertical="center"/>
    </xf>
    <xf numFmtId="0" fontId="70" fillId="3" borderId="0" xfId="0" applyFont="1" applyFill="1" applyAlignment="1" applyProtection="1">
      <alignment horizontal="center" vertical="center"/>
    </xf>
    <xf numFmtId="0" fontId="74" fillId="3" borderId="0" xfId="0" applyFont="1" applyFill="1" applyAlignment="1" applyProtection="1">
      <alignment horizontal="left" vertical="center"/>
    </xf>
    <xf numFmtId="0" fontId="74" fillId="3" borderId="0" xfId="0" applyFont="1" applyFill="1" applyAlignment="1" applyProtection="1">
      <alignment horizontal="left" vertical="top"/>
    </xf>
    <xf numFmtId="0" fontId="77" fillId="3" borderId="0" xfId="0" applyFont="1" applyFill="1" applyAlignment="1" applyProtection="1">
      <alignment horizontal="center" vertical="center"/>
    </xf>
    <xf numFmtId="165" fontId="74" fillId="0" borderId="0" xfId="2" applyFont="1" applyAlignment="1">
      <alignment horizontal="center" vertical="center"/>
    </xf>
    <xf numFmtId="0" fontId="73" fillId="0" borderId="0" xfId="0" applyFont="1" applyAlignment="1">
      <alignment horizontal="center" vertical="center"/>
    </xf>
    <xf numFmtId="165" fontId="73" fillId="0" borderId="0" xfId="2" applyFont="1" applyAlignment="1">
      <alignment horizontal="center" vertical="center"/>
    </xf>
    <xf numFmtId="0" fontId="78" fillId="3" borderId="0" xfId="0" applyFont="1" applyFill="1" applyAlignment="1" applyProtection="1">
      <alignment horizontal="center" vertical="center" wrapText="1"/>
    </xf>
    <xf numFmtId="0" fontId="6" fillId="16" borderId="0" xfId="0" applyFont="1" applyFill="1" applyBorder="1" applyAlignment="1">
      <alignment horizontal="left" vertical="center"/>
    </xf>
    <xf numFmtId="169" fontId="66" fillId="10" borderId="0" xfId="0" applyNumberFormat="1" applyFont="1" applyFill="1" applyBorder="1" applyAlignment="1" applyProtection="1">
      <alignment vertical="center"/>
      <protection locked="0"/>
    </xf>
    <xf numFmtId="0" fontId="63" fillId="16" borderId="0" xfId="0" applyFont="1" applyFill="1" applyBorder="1" applyAlignment="1">
      <alignment vertical="center"/>
    </xf>
    <xf numFmtId="14" fontId="74" fillId="12" borderId="0" xfId="0" applyNumberFormat="1" applyFont="1" applyFill="1" applyAlignment="1" applyProtection="1">
      <alignment horizontal="center" vertical="center"/>
    </xf>
    <xf numFmtId="0" fontId="0" fillId="13" borderId="0" xfId="0" applyFill="1" applyAlignment="1" applyProtection="1">
      <alignment horizontal="left" vertical="center"/>
    </xf>
    <xf numFmtId="0" fontId="73" fillId="12" borderId="0" xfId="0" applyFont="1" applyFill="1" applyBorder="1" applyAlignment="1" applyProtection="1">
      <alignment horizontal="center" vertical="center"/>
    </xf>
    <xf numFmtId="0" fontId="82" fillId="12" borderId="0" xfId="0" applyFont="1" applyFill="1" applyBorder="1" applyAlignment="1">
      <alignment horizontal="center" vertical="center" wrapText="1"/>
    </xf>
    <xf numFmtId="164" fontId="82" fillId="12" borderId="0" xfId="0" applyNumberFormat="1" applyFont="1" applyFill="1" applyBorder="1" applyAlignment="1">
      <alignment horizontal="center" vertical="center" wrapText="1"/>
    </xf>
    <xf numFmtId="0" fontId="75" fillId="12" borderId="0" xfId="0" applyFont="1" applyFill="1" applyAlignment="1">
      <alignment vertical="center"/>
    </xf>
    <xf numFmtId="0" fontId="73" fillId="3" borderId="0" xfId="0" applyFont="1" applyFill="1" applyBorder="1" applyAlignment="1" applyProtection="1">
      <alignment horizontal="center" vertical="center"/>
    </xf>
    <xf numFmtId="0" fontId="75" fillId="3" borderId="0" xfId="0" applyFont="1" applyFill="1" applyAlignment="1" applyProtection="1">
      <alignment horizontal="center" vertical="center"/>
    </xf>
    <xf numFmtId="165" fontId="84" fillId="12" borderId="48" xfId="2" applyFont="1" applyFill="1" applyBorder="1" applyAlignment="1" applyProtection="1">
      <alignment horizontal="center" vertical="center"/>
      <protection locked="0"/>
    </xf>
    <xf numFmtId="0" fontId="0" fillId="12" borderId="0" xfId="0" applyFill="1"/>
    <xf numFmtId="0" fontId="0" fillId="12" borderId="0" xfId="0" applyFill="1" applyBorder="1" applyAlignment="1">
      <alignment horizontal="left" vertical="center"/>
    </xf>
    <xf numFmtId="0" fontId="0" fillId="12" borderId="0" xfId="0" applyFill="1" applyAlignment="1">
      <alignment horizontal="left" vertical="center"/>
    </xf>
    <xf numFmtId="0" fontId="0" fillId="12" borderId="3" xfId="0" applyFill="1" applyBorder="1" applyAlignment="1">
      <alignment horizontal="left" vertical="center"/>
    </xf>
    <xf numFmtId="0" fontId="0" fillId="12" borderId="0" xfId="0" applyFill="1" applyBorder="1" applyAlignment="1"/>
    <xf numFmtId="0" fontId="31" fillId="12" borderId="0" xfId="0" applyFont="1" applyFill="1"/>
    <xf numFmtId="0" fontId="34" fillId="12" borderId="0" xfId="0" applyFont="1" applyFill="1" applyBorder="1" applyAlignment="1">
      <alignment horizontal="center" vertical="center" wrapText="1"/>
    </xf>
    <xf numFmtId="0" fontId="0" fillId="13" borderId="0" xfId="0" applyFill="1"/>
    <xf numFmtId="0" fontId="0" fillId="13" borderId="0" xfId="0" applyFill="1" applyAlignment="1">
      <alignment horizontal="left" vertical="center"/>
    </xf>
    <xf numFmtId="0" fontId="0" fillId="13" borderId="0" xfId="0" applyFill="1" applyProtection="1"/>
    <xf numFmtId="1" fontId="69" fillId="31" borderId="0" xfId="0" applyNumberFormat="1" applyFont="1" applyFill="1" applyAlignment="1">
      <alignment vertical="center"/>
    </xf>
    <xf numFmtId="1" fontId="69" fillId="32" borderId="0" xfId="0" applyNumberFormat="1" applyFont="1" applyFill="1" applyAlignment="1">
      <alignment vertical="center"/>
    </xf>
    <xf numFmtId="0" fontId="69" fillId="24" borderId="0" xfId="0" applyFont="1" applyFill="1" applyAlignment="1">
      <alignment vertical="center"/>
    </xf>
    <xf numFmtId="0" fontId="69" fillId="31" borderId="0" xfId="0" applyFont="1" applyFill="1" applyAlignment="1">
      <alignment vertical="center"/>
    </xf>
    <xf numFmtId="0" fontId="0" fillId="12" borderId="27" xfId="0" applyFill="1" applyBorder="1" applyAlignment="1">
      <alignment horizontal="left" vertical="center"/>
    </xf>
    <xf numFmtId="0" fontId="0" fillId="12" borderId="28" xfId="0" applyFill="1" applyBorder="1" applyAlignment="1">
      <alignment horizontal="left" vertical="center"/>
    </xf>
    <xf numFmtId="0" fontId="0" fillId="12" borderId="2" xfId="0" applyFill="1" applyBorder="1" applyAlignment="1">
      <alignment horizontal="left" vertical="center"/>
    </xf>
    <xf numFmtId="0" fontId="0" fillId="12" borderId="4" xfId="0" applyFill="1" applyBorder="1" applyAlignment="1">
      <alignment horizontal="left" vertical="center"/>
    </xf>
    <xf numFmtId="0" fontId="0" fillId="12" borderId="3" xfId="0" applyFill="1" applyBorder="1" applyAlignment="1">
      <alignment horizontal="center" vertical="center"/>
    </xf>
    <xf numFmtId="0" fontId="0" fillId="12" borderId="29" xfId="0" applyFill="1" applyBorder="1" applyAlignment="1">
      <alignment horizontal="left" vertical="center"/>
    </xf>
    <xf numFmtId="0" fontId="0" fillId="12" borderId="7" xfId="0" applyFill="1" applyBorder="1" applyAlignment="1">
      <alignment horizontal="left" vertical="center"/>
    </xf>
    <xf numFmtId="0" fontId="0" fillId="12" borderId="5" xfId="0" applyFill="1" applyBorder="1" applyAlignment="1">
      <alignment horizontal="left" vertical="center"/>
    </xf>
    <xf numFmtId="165" fontId="69" fillId="9" borderId="25" xfId="2" applyFont="1" applyFill="1" applyBorder="1" applyAlignment="1">
      <alignment vertical="center"/>
    </xf>
    <xf numFmtId="0" fontId="49" fillId="17" borderId="0" xfId="0" applyFont="1" applyFill="1" applyAlignment="1" applyProtection="1">
      <alignment horizontal="right" vertical="center"/>
    </xf>
    <xf numFmtId="165" fontId="43" fillId="12" borderId="0" xfId="2" applyFont="1" applyFill="1" applyBorder="1" applyAlignment="1" applyProtection="1">
      <alignment horizontal="center" vertical="center"/>
    </xf>
    <xf numFmtId="165" fontId="43" fillId="12" borderId="0" xfId="2" applyFont="1" applyFill="1" applyBorder="1" applyAlignment="1" applyProtection="1">
      <alignment horizontal="left" vertical="center"/>
    </xf>
    <xf numFmtId="1" fontId="4" fillId="3" borderId="0" xfId="0" applyNumberFormat="1" applyFont="1" applyFill="1" applyAlignment="1" applyProtection="1">
      <alignment vertical="center"/>
    </xf>
    <xf numFmtId="14" fontId="4" fillId="27" borderId="42" xfId="0" applyNumberFormat="1" applyFont="1" applyFill="1" applyBorder="1" applyAlignment="1">
      <alignment vertical="center"/>
    </xf>
    <xf numFmtId="1" fontId="4" fillId="27" borderId="43" xfId="0" applyNumberFormat="1" applyFont="1" applyFill="1" applyBorder="1" applyAlignment="1">
      <alignment vertical="center"/>
    </xf>
    <xf numFmtId="167" fontId="17" fillId="3" borderId="0" xfId="0" applyNumberFormat="1" applyFont="1" applyFill="1" applyAlignment="1" applyProtection="1">
      <alignment vertical="center"/>
      <protection locked="0"/>
    </xf>
    <xf numFmtId="165" fontId="17" fillId="3" borderId="0" xfId="2" applyFont="1" applyFill="1" applyAlignment="1" applyProtection="1">
      <alignment vertical="center"/>
      <protection locked="0"/>
    </xf>
    <xf numFmtId="0" fontId="69" fillId="22" borderId="10" xfId="0" applyFont="1" applyFill="1" applyBorder="1" applyAlignment="1">
      <alignment vertical="center"/>
    </xf>
    <xf numFmtId="0" fontId="69" fillId="22" borderId="11" xfId="0" applyNumberFormat="1" applyFont="1" applyFill="1" applyBorder="1" applyAlignment="1">
      <alignment vertical="center"/>
    </xf>
    <xf numFmtId="0" fontId="69" fillId="22" borderId="26" xfId="0" applyFont="1" applyFill="1" applyBorder="1" applyAlignment="1">
      <alignment vertical="center"/>
    </xf>
    <xf numFmtId="0" fontId="69" fillId="22" borderId="11" xfId="0" applyFont="1" applyFill="1" applyBorder="1" applyAlignment="1">
      <alignment vertical="center"/>
    </xf>
    <xf numFmtId="168" fontId="69" fillId="0" borderId="0" xfId="3" applyNumberFormat="1" applyFont="1" applyAlignment="1">
      <alignment vertical="center"/>
    </xf>
    <xf numFmtId="171" fontId="69" fillId="9" borderId="0" xfId="3" applyNumberFormat="1" applyFont="1" applyFill="1" applyAlignment="1">
      <alignment vertical="center"/>
    </xf>
    <xf numFmtId="0" fontId="10" fillId="16" borderId="0" xfId="0" applyFont="1" applyFill="1" applyAlignment="1">
      <alignment horizontal="center" vertical="center"/>
    </xf>
    <xf numFmtId="0" fontId="63" fillId="20" borderId="0" xfId="0" applyFont="1" applyFill="1" applyAlignment="1">
      <alignment horizontal="right" vertical="center"/>
    </xf>
    <xf numFmtId="0" fontId="0" fillId="12" borderId="0" xfId="0" applyFill="1" applyBorder="1" applyAlignment="1">
      <alignment horizontal="center" vertical="center" wrapText="1"/>
    </xf>
    <xf numFmtId="0" fontId="0" fillId="12" borderId="0" xfId="0" applyFill="1" applyBorder="1" applyAlignment="1">
      <alignment horizontal="left" vertical="center" wrapText="1"/>
    </xf>
    <xf numFmtId="0" fontId="10" fillId="12" borderId="0" xfId="0" applyFont="1" applyFill="1" applyAlignment="1">
      <alignment vertical="center"/>
    </xf>
    <xf numFmtId="0" fontId="86" fillId="16" borderId="0" xfId="0" applyFont="1" applyFill="1" applyAlignment="1">
      <alignment horizontal="left" vertical="center"/>
    </xf>
    <xf numFmtId="0" fontId="0" fillId="12" borderId="0" xfId="0" applyFill="1"/>
    <xf numFmtId="0" fontId="0" fillId="16" borderId="0" xfId="0" applyFill="1" applyAlignment="1">
      <alignment horizontal="right"/>
    </xf>
    <xf numFmtId="0" fontId="0" fillId="16" borderId="0" xfId="0" applyNumberFormat="1" applyFill="1"/>
    <xf numFmtId="0" fontId="0" fillId="14" borderId="0" xfId="0" applyNumberFormat="1" applyFill="1"/>
    <xf numFmtId="165" fontId="65" fillId="19" borderId="47" xfId="2" applyFont="1" applyFill="1" applyBorder="1" applyAlignment="1" applyProtection="1">
      <alignment vertical="center"/>
    </xf>
    <xf numFmtId="0" fontId="10" fillId="19" borderId="0" xfId="0" applyFont="1" applyFill="1" applyBorder="1" applyAlignment="1" applyProtection="1">
      <alignment horizontal="center" vertical="center"/>
    </xf>
    <xf numFmtId="0" fontId="10" fillId="19" borderId="0" xfId="0" applyFont="1" applyFill="1" applyBorder="1" applyAlignment="1" applyProtection="1">
      <alignment vertical="center"/>
    </xf>
    <xf numFmtId="0" fontId="1" fillId="19" borderId="0" xfId="0" applyFont="1" applyFill="1" applyBorder="1" applyAlignment="1" applyProtection="1">
      <alignment horizontal="right" vertical="center"/>
    </xf>
    <xf numFmtId="0" fontId="0" fillId="12" borderId="55" xfId="0" applyFill="1" applyBorder="1"/>
    <xf numFmtId="0" fontId="0" fillId="12" borderId="56" xfId="0" applyFill="1" applyBorder="1"/>
    <xf numFmtId="0" fontId="0" fillId="12" borderId="55" xfId="0" applyFill="1" applyBorder="1" applyAlignment="1">
      <alignment vertical="center" wrapText="1"/>
    </xf>
    <xf numFmtId="0" fontId="0" fillId="12" borderId="55" xfId="0" applyFill="1" applyBorder="1" applyAlignment="1">
      <alignment horizontal="center" vertical="center" wrapText="1"/>
    </xf>
    <xf numFmtId="0" fontId="0" fillId="12" borderId="57" xfId="0" applyFill="1" applyBorder="1"/>
    <xf numFmtId="0" fontId="0" fillId="12" borderId="58" xfId="0" applyFill="1" applyBorder="1"/>
    <xf numFmtId="0" fontId="0" fillId="12" borderId="58" xfId="0" applyFill="1" applyBorder="1" applyAlignment="1">
      <alignment vertical="center" wrapText="1"/>
    </xf>
    <xf numFmtId="0" fontId="0" fillId="12" borderId="59" xfId="0" applyFill="1" applyBorder="1"/>
    <xf numFmtId="0" fontId="10" fillId="30" borderId="0" xfId="0" applyFont="1" applyFill="1" applyAlignment="1">
      <alignment vertical="center"/>
    </xf>
    <xf numFmtId="0" fontId="59" fillId="7" borderId="0" xfId="0" applyFont="1" applyFill="1" applyAlignment="1">
      <alignment horizontal="center" vertical="center"/>
    </xf>
    <xf numFmtId="0" fontId="47" fillId="15" borderId="0" xfId="1" applyFont="1" applyFill="1" applyAlignment="1" applyProtection="1">
      <alignment horizontal="right"/>
    </xf>
    <xf numFmtId="0" fontId="47" fillId="15" borderId="0" xfId="1" applyFont="1" applyFill="1" applyAlignment="1" applyProtection="1">
      <alignment horizontal="left"/>
    </xf>
    <xf numFmtId="0" fontId="0" fillId="19" borderId="0" xfId="0" applyFill="1" applyAlignment="1">
      <alignment horizontal="center"/>
    </xf>
    <xf numFmtId="0" fontId="88" fillId="29" borderId="0" xfId="1" applyFont="1" applyFill="1" applyAlignment="1" applyProtection="1">
      <alignment horizontal="center"/>
    </xf>
    <xf numFmtId="0" fontId="47" fillId="17" borderId="0" xfId="1" applyFont="1" applyFill="1" applyAlignment="1" applyProtection="1">
      <alignment horizontal="left"/>
    </xf>
    <xf numFmtId="0" fontId="47" fillId="17" borderId="0" xfId="1" applyFont="1" applyFill="1" applyAlignment="1" applyProtection="1">
      <alignment horizontal="right"/>
    </xf>
    <xf numFmtId="0" fontId="34" fillId="12" borderId="0" xfId="0" applyFont="1" applyFill="1" applyAlignment="1">
      <alignment horizontal="center"/>
    </xf>
    <xf numFmtId="0" fontId="33" fillId="12" borderId="0" xfId="1" applyFill="1" applyAlignment="1" applyProtection="1">
      <alignment horizontal="center"/>
    </xf>
    <xf numFmtId="167" fontId="67" fillId="3" borderId="0" xfId="0" applyNumberFormat="1" applyFont="1" applyFill="1" applyAlignment="1" applyProtection="1">
      <alignment horizontal="center" vertical="center"/>
      <protection locked="0"/>
    </xf>
    <xf numFmtId="0" fontId="10" fillId="16" borderId="0" xfId="0" applyFont="1" applyFill="1" applyAlignment="1">
      <alignment horizontal="center" vertical="center"/>
    </xf>
    <xf numFmtId="0" fontId="63" fillId="20" borderId="0" xfId="0" applyFont="1" applyFill="1" applyAlignment="1">
      <alignment horizontal="right" vertical="center"/>
    </xf>
    <xf numFmtId="14" fontId="67" fillId="3" borderId="0" xfId="0" applyNumberFormat="1" applyFont="1" applyFill="1" applyAlignment="1" applyProtection="1">
      <alignment horizontal="center" vertical="center"/>
      <protection locked="0"/>
    </xf>
    <xf numFmtId="0" fontId="55" fillId="16" borderId="0" xfId="0" applyFont="1" applyFill="1" applyAlignment="1">
      <alignment horizontal="center" vertical="center"/>
    </xf>
    <xf numFmtId="0" fontId="1" fillId="16" borderId="0" xfId="0" applyFont="1" applyFill="1" applyAlignment="1">
      <alignment horizontal="center" vertical="center"/>
    </xf>
    <xf numFmtId="0" fontId="20" fillId="3" borderId="0" xfId="0" applyFont="1" applyFill="1" applyAlignment="1">
      <alignment horizontal="left" vertical="center"/>
    </xf>
    <xf numFmtId="0" fontId="3" fillId="0" borderId="0" xfId="0" applyFont="1" applyAlignment="1">
      <alignment horizontal="center"/>
    </xf>
    <xf numFmtId="0" fontId="67" fillId="3" borderId="0" xfId="0" applyFont="1" applyFill="1" applyAlignment="1" applyProtection="1">
      <alignment horizontal="center" vertical="center"/>
      <protection locked="0"/>
    </xf>
    <xf numFmtId="0" fontId="10" fillId="16" borderId="0" xfId="0" applyFont="1" applyFill="1" applyBorder="1" applyAlignment="1">
      <alignment horizontal="center" vertical="center"/>
    </xf>
    <xf numFmtId="0" fontId="66" fillId="12" borderId="0" xfId="0" applyFont="1" applyFill="1" applyAlignment="1" applyProtection="1">
      <alignment horizontal="left" vertical="center"/>
      <protection locked="0"/>
    </xf>
    <xf numFmtId="0" fontId="63" fillId="30" borderId="0" xfId="0" applyFont="1" applyFill="1" applyAlignment="1">
      <alignment horizontal="right" vertical="center"/>
    </xf>
    <xf numFmtId="165" fontId="65" fillId="12" borderId="0" xfId="2" applyFont="1" applyFill="1" applyBorder="1" applyAlignment="1" applyProtection="1">
      <alignment horizontal="center" vertical="center"/>
      <protection locked="0"/>
    </xf>
    <xf numFmtId="0" fontId="65" fillId="12" borderId="0" xfId="0" applyFont="1" applyFill="1" applyBorder="1" applyAlignment="1" applyProtection="1">
      <alignment horizontal="center" vertical="center"/>
      <protection locked="0"/>
    </xf>
    <xf numFmtId="0" fontId="63" fillId="19" borderId="0" xfId="0" applyFont="1" applyFill="1" applyBorder="1" applyAlignment="1">
      <alignment horizontal="center" vertical="center"/>
    </xf>
    <xf numFmtId="0" fontId="67" fillId="3" borderId="0" xfId="0" applyFont="1" applyFill="1" applyAlignment="1" applyProtection="1">
      <alignment horizontal="left" vertical="center"/>
      <protection locked="0"/>
    </xf>
    <xf numFmtId="0" fontId="60" fillId="7" borderId="0" xfId="0" applyFont="1" applyFill="1" applyAlignment="1">
      <alignment horizontal="center" vertical="center"/>
    </xf>
    <xf numFmtId="0" fontId="28" fillId="20" borderId="0" xfId="0" applyFont="1" applyFill="1" applyAlignment="1">
      <alignment horizontal="right" vertical="center"/>
    </xf>
    <xf numFmtId="0" fontId="63" fillId="20" borderId="0" xfId="0" applyFont="1" applyFill="1" applyAlignment="1">
      <alignment horizontal="center" vertical="center"/>
    </xf>
    <xf numFmtId="165" fontId="64" fillId="12" borderId="0" xfId="2" applyFont="1" applyFill="1" applyBorder="1" applyAlignment="1" applyProtection="1">
      <alignment horizontal="center" vertical="center"/>
      <protection locked="0"/>
    </xf>
    <xf numFmtId="0" fontId="1" fillId="16" borderId="6" xfId="0" applyFont="1" applyFill="1" applyBorder="1" applyAlignment="1">
      <alignment horizontal="center" vertical="center"/>
    </xf>
    <xf numFmtId="0" fontId="63" fillId="4" borderId="0" xfId="0" applyFont="1" applyFill="1" applyAlignment="1">
      <alignment horizontal="center" vertical="center"/>
    </xf>
    <xf numFmtId="0" fontId="10" fillId="16" borderId="24" xfId="0" applyFont="1" applyFill="1" applyBorder="1" applyAlignment="1">
      <alignment horizontal="center" vertical="center"/>
    </xf>
    <xf numFmtId="165" fontId="74" fillId="0" borderId="0" xfId="2" applyFont="1" applyAlignment="1">
      <alignment horizontal="center" vertical="center"/>
    </xf>
    <xf numFmtId="0" fontId="73" fillId="0" borderId="0" xfId="0" applyFont="1" applyAlignment="1">
      <alignment horizontal="center" vertical="center"/>
    </xf>
    <xf numFmtId="165" fontId="73" fillId="0" borderId="0" xfId="2" applyFont="1" applyAlignment="1">
      <alignment horizontal="center" vertical="center"/>
    </xf>
    <xf numFmtId="0" fontId="74" fillId="0" borderId="0" xfId="0" applyFont="1" applyAlignment="1">
      <alignment horizontal="right" vertical="center"/>
    </xf>
    <xf numFmtId="165" fontId="74" fillId="0" borderId="0" xfId="2" applyFont="1" applyAlignment="1">
      <alignment horizontal="left" vertical="center"/>
    </xf>
    <xf numFmtId="0" fontId="81" fillId="0" borderId="0" xfId="0" applyFont="1" applyFill="1" applyBorder="1" applyAlignment="1">
      <alignment horizontal="center" vertical="center" wrapText="1"/>
    </xf>
    <xf numFmtId="0" fontId="74" fillId="12" borderId="30" xfId="0" applyFont="1" applyFill="1" applyBorder="1" applyAlignment="1" applyProtection="1">
      <alignment horizontal="center" vertical="center"/>
    </xf>
    <xf numFmtId="0" fontId="74" fillId="12" borderId="31" xfId="0" applyFont="1" applyFill="1" applyBorder="1" applyAlignment="1" applyProtection="1">
      <alignment horizontal="center" vertical="center"/>
    </xf>
    <xf numFmtId="0" fontId="74" fillId="12" borderId="0" xfId="0" applyFont="1" applyFill="1" applyAlignment="1" applyProtection="1">
      <alignment horizontal="right" vertical="center"/>
    </xf>
    <xf numFmtId="165" fontId="31" fillId="12" borderId="0" xfId="2" applyFont="1" applyFill="1" applyAlignment="1" applyProtection="1">
      <alignment horizontal="left" vertical="center"/>
    </xf>
    <xf numFmtId="0" fontId="78" fillId="3" borderId="0" xfId="0" applyFont="1" applyFill="1" applyAlignment="1" applyProtection="1">
      <alignment horizontal="center" vertical="center" wrapText="1"/>
    </xf>
    <xf numFmtId="0" fontId="74" fillId="26" borderId="0" xfId="0" applyFont="1" applyFill="1" applyAlignment="1" applyProtection="1">
      <alignment horizontal="center" vertical="center"/>
    </xf>
    <xf numFmtId="0" fontId="73" fillId="3" borderId="0" xfId="0" applyFont="1" applyFill="1" applyBorder="1" applyAlignment="1" applyProtection="1">
      <alignment horizontal="center" vertical="center"/>
    </xf>
    <xf numFmtId="165" fontId="31" fillId="12" borderId="0" xfId="2" applyFont="1" applyFill="1" applyBorder="1" applyAlignment="1" applyProtection="1">
      <alignment horizontal="left" vertical="center"/>
    </xf>
    <xf numFmtId="165" fontId="79" fillId="12" borderId="0" xfId="2" applyFont="1" applyFill="1" applyBorder="1" applyAlignment="1" applyProtection="1">
      <alignment horizontal="left" vertical="center"/>
    </xf>
    <xf numFmtId="165" fontId="31" fillId="12" borderId="0" xfId="2" applyFont="1" applyFill="1" applyBorder="1" applyAlignment="1" applyProtection="1">
      <alignment horizontal="center" vertical="center"/>
    </xf>
    <xf numFmtId="165" fontId="73" fillId="26" borderId="9" xfId="2" applyFont="1" applyFill="1" applyBorder="1" applyAlignment="1" applyProtection="1">
      <alignment horizontal="center" vertical="center"/>
    </xf>
    <xf numFmtId="165" fontId="73" fillId="26" borderId="25" xfId="2" applyFont="1" applyFill="1" applyBorder="1" applyAlignment="1" applyProtection="1">
      <alignment horizontal="center" vertical="center"/>
    </xf>
    <xf numFmtId="167" fontId="73" fillId="26" borderId="9" xfId="0" applyNumberFormat="1" applyFont="1" applyFill="1" applyBorder="1" applyAlignment="1" applyProtection="1">
      <alignment horizontal="center" vertical="center"/>
    </xf>
    <xf numFmtId="0" fontId="73" fillId="26" borderId="9" xfId="0" applyFont="1" applyFill="1" applyBorder="1" applyAlignment="1" applyProtection="1">
      <alignment horizontal="center" vertical="center"/>
    </xf>
    <xf numFmtId="0" fontId="73" fillId="26" borderId="25" xfId="0" applyFont="1" applyFill="1" applyBorder="1" applyAlignment="1" applyProtection="1">
      <alignment horizontal="center" vertical="center"/>
    </xf>
    <xf numFmtId="0" fontId="73" fillId="12" borderId="0" xfId="0" applyFont="1" applyFill="1" applyAlignment="1">
      <alignment horizontal="center" vertical="center"/>
    </xf>
    <xf numFmtId="0" fontId="70" fillId="3" borderId="0" xfId="0" applyFont="1" applyFill="1" applyAlignment="1" applyProtection="1">
      <alignment horizontal="center" vertical="center"/>
    </xf>
    <xf numFmtId="14" fontId="74" fillId="26" borderId="0" xfId="0" applyNumberFormat="1" applyFont="1" applyFill="1" applyAlignment="1" applyProtection="1">
      <alignment horizontal="left" vertical="center"/>
    </xf>
    <xf numFmtId="0" fontId="74" fillId="26" borderId="0" xfId="0" applyFont="1" applyFill="1" applyAlignment="1" applyProtection="1">
      <alignment horizontal="left" vertical="center"/>
    </xf>
    <xf numFmtId="14" fontId="74" fillId="26" borderId="0" xfId="0" applyNumberFormat="1" applyFont="1" applyFill="1" applyAlignment="1" applyProtection="1">
      <alignment horizontal="center" vertical="center"/>
    </xf>
    <xf numFmtId="167" fontId="74" fillId="26" borderId="0" xfId="0" applyNumberFormat="1" applyFont="1" applyFill="1" applyAlignment="1" applyProtection="1">
      <alignment horizontal="center" vertical="center"/>
    </xf>
    <xf numFmtId="0" fontId="74" fillId="3" borderId="0" xfId="0" applyFont="1" applyFill="1" applyAlignment="1" applyProtection="1">
      <alignment horizontal="left" vertical="center"/>
    </xf>
    <xf numFmtId="0" fontId="74" fillId="3" borderId="0" xfId="0" applyFont="1" applyFill="1" applyAlignment="1" applyProtection="1">
      <alignment horizontal="left" vertical="top"/>
    </xf>
    <xf numFmtId="14" fontId="77" fillId="3" borderId="0" xfId="0" applyNumberFormat="1" applyFont="1" applyFill="1" applyAlignment="1" applyProtection="1">
      <alignment horizontal="center" vertical="center"/>
    </xf>
    <xf numFmtId="0" fontId="77" fillId="3" borderId="0" xfId="0" applyFont="1" applyFill="1" applyAlignment="1" applyProtection="1">
      <alignment horizontal="center" vertical="center"/>
    </xf>
    <xf numFmtId="0" fontId="78" fillId="12" borderId="0" xfId="0" applyFont="1" applyFill="1" applyAlignment="1" applyProtection="1">
      <alignment horizontal="left" vertical="center" wrapText="1"/>
    </xf>
    <xf numFmtId="167" fontId="73" fillId="26" borderId="11" xfId="0" applyNumberFormat="1" applyFont="1" applyFill="1" applyBorder="1" applyAlignment="1" applyProtection="1">
      <alignment horizontal="center" vertical="center"/>
    </xf>
    <xf numFmtId="0" fontId="73" fillId="26" borderId="11" xfId="0" applyFont="1" applyFill="1" applyBorder="1" applyAlignment="1" applyProtection="1">
      <alignment horizontal="center" vertical="center"/>
    </xf>
    <xf numFmtId="0" fontId="73" fillId="26" borderId="26" xfId="0" applyFont="1" applyFill="1" applyBorder="1" applyAlignment="1" applyProtection="1">
      <alignment horizontal="center" vertical="center"/>
    </xf>
    <xf numFmtId="0" fontId="77" fillId="3" borderId="0" xfId="0" applyFont="1" applyFill="1" applyAlignment="1" applyProtection="1">
      <alignment horizontal="right" vertical="center"/>
    </xf>
    <xf numFmtId="0" fontId="73" fillId="3" borderId="8" xfId="0" applyFont="1" applyFill="1" applyBorder="1" applyAlignment="1" applyProtection="1">
      <alignment horizontal="left" vertical="center"/>
    </xf>
    <xf numFmtId="0" fontId="73" fillId="3" borderId="9" xfId="0" applyFont="1" applyFill="1" applyBorder="1" applyAlignment="1" applyProtection="1">
      <alignment horizontal="left" vertical="center"/>
    </xf>
    <xf numFmtId="0" fontId="74" fillId="3" borderId="0" xfId="0" applyFont="1" applyFill="1" applyBorder="1" applyAlignment="1" applyProtection="1">
      <alignment horizontal="right" vertical="center"/>
    </xf>
    <xf numFmtId="0" fontId="74" fillId="12" borderId="0" xfId="0" applyFont="1" applyFill="1" applyAlignment="1">
      <alignment horizontal="left" vertical="center"/>
    </xf>
    <xf numFmtId="14" fontId="74" fillId="26" borderId="0" xfId="0" applyNumberFormat="1" applyFont="1" applyFill="1" applyAlignment="1">
      <alignment horizontal="center" vertical="center"/>
    </xf>
    <xf numFmtId="0" fontId="50" fillId="12" borderId="0" xfId="0" applyFont="1" applyFill="1" applyAlignment="1">
      <alignment horizontal="center"/>
    </xf>
    <xf numFmtId="0" fontId="0" fillId="12" borderId="0" xfId="0" applyFill="1" applyAlignment="1">
      <alignment horizontal="center"/>
    </xf>
    <xf numFmtId="0" fontId="51" fillId="0" borderId="0" xfId="0" applyFont="1" applyAlignment="1">
      <alignment horizontal="left"/>
    </xf>
    <xf numFmtId="0" fontId="34" fillId="12" borderId="27" xfId="0" applyFont="1" applyFill="1" applyBorder="1" applyAlignment="1">
      <alignment horizontal="center"/>
    </xf>
    <xf numFmtId="0" fontId="34" fillId="12" borderId="28" xfId="0" applyFont="1" applyFill="1" applyBorder="1" applyAlignment="1">
      <alignment horizontal="center"/>
    </xf>
    <xf numFmtId="0" fontId="34" fillId="12" borderId="29" xfId="0" applyFont="1" applyFill="1" applyBorder="1" applyAlignment="1">
      <alignment horizontal="center"/>
    </xf>
    <xf numFmtId="0" fontId="34" fillId="12" borderId="7" xfId="0" applyFont="1" applyFill="1" applyBorder="1" applyAlignment="1">
      <alignment horizontal="center"/>
    </xf>
    <xf numFmtId="0" fontId="34" fillId="12" borderId="0" xfId="0" applyFont="1" applyFill="1" applyAlignment="1">
      <alignment horizontal="center" vertical="center"/>
    </xf>
    <xf numFmtId="0" fontId="51" fillId="12" borderId="0" xfId="0" applyFont="1" applyFill="1" applyAlignment="1">
      <alignment horizontal="left" wrapText="1"/>
    </xf>
    <xf numFmtId="0" fontId="52" fillId="12" borderId="0" xfId="0" applyFont="1" applyFill="1" applyAlignment="1">
      <alignment horizontal="left" wrapText="1"/>
    </xf>
    <xf numFmtId="0" fontId="52" fillId="12" borderId="0" xfId="0" applyFont="1" applyFill="1" applyAlignment="1">
      <alignment horizontal="justify"/>
    </xf>
    <xf numFmtId="0" fontId="53" fillId="12" borderId="0" xfId="0" applyFont="1" applyFill="1" applyAlignment="1">
      <alignment horizontal="justify"/>
    </xf>
    <xf numFmtId="0" fontId="54" fillId="12" borderId="0" xfId="0" applyFont="1" applyFill="1" applyAlignment="1">
      <alignment wrapText="1"/>
    </xf>
    <xf numFmtId="0" fontId="54" fillId="12" borderId="0" xfId="0" applyFont="1" applyFill="1" applyAlignment="1">
      <alignment horizontal="justify"/>
    </xf>
    <xf numFmtId="0" fontId="0" fillId="12" borderId="0" xfId="0" applyFill="1"/>
    <xf numFmtId="0" fontId="59" fillId="18" borderId="0" xfId="0" applyFont="1" applyFill="1" applyAlignment="1">
      <alignment horizontal="center" vertical="center"/>
    </xf>
    <xf numFmtId="0" fontId="10" fillId="17" borderId="0" xfId="0" applyFont="1" applyFill="1" applyAlignment="1">
      <alignment horizontal="center" vertical="center"/>
    </xf>
    <xf numFmtId="0" fontId="49" fillId="17" borderId="0" xfId="0" applyFont="1" applyFill="1" applyAlignment="1">
      <alignment horizontal="right" vertical="center"/>
    </xf>
    <xf numFmtId="14" fontId="17" fillId="3" borderId="0" xfId="0" applyNumberFormat="1" applyFont="1" applyFill="1" applyAlignment="1" applyProtection="1">
      <alignment horizontal="center" vertical="center"/>
      <protection locked="0"/>
    </xf>
    <xf numFmtId="0" fontId="13" fillId="17" borderId="0" xfId="1" applyFont="1" applyFill="1" applyAlignment="1" applyProtection="1">
      <alignment horizontal="center" vertical="center"/>
    </xf>
    <xf numFmtId="0" fontId="17" fillId="3" borderId="0" xfId="0" applyFont="1" applyFill="1" applyAlignment="1" applyProtection="1">
      <alignment horizontal="center" vertical="center"/>
      <protection locked="0"/>
    </xf>
    <xf numFmtId="0" fontId="10" fillId="17" borderId="6" xfId="0" applyFont="1" applyFill="1" applyBorder="1" applyAlignment="1">
      <alignment horizontal="center" vertical="center"/>
    </xf>
    <xf numFmtId="0" fontId="10" fillId="17" borderId="24" xfId="0" applyFont="1" applyFill="1" applyBorder="1" applyAlignment="1">
      <alignment horizontal="center" vertical="center"/>
    </xf>
    <xf numFmtId="0" fontId="40" fillId="17" borderId="0" xfId="0" applyFont="1" applyFill="1" applyAlignment="1">
      <alignment horizontal="right" vertical="center"/>
    </xf>
    <xf numFmtId="167" fontId="17" fillId="3" borderId="0" xfId="0" applyNumberFormat="1" applyFont="1" applyFill="1" applyAlignment="1" applyProtection="1">
      <alignment horizontal="center" vertical="center"/>
      <protection locked="0"/>
    </xf>
    <xf numFmtId="0" fontId="25" fillId="12" borderId="0" xfId="0" applyFont="1" applyFill="1" applyAlignment="1">
      <alignment horizontal="center" vertical="center"/>
    </xf>
    <xf numFmtId="0" fontId="22" fillId="3" borderId="7" xfId="1" applyFont="1" applyFill="1" applyBorder="1" applyAlignment="1" applyProtection="1">
      <alignment horizontal="right"/>
    </xf>
    <xf numFmtId="0" fontId="21" fillId="3" borderId="7" xfId="0" applyFont="1" applyFill="1" applyBorder="1" applyAlignment="1" applyProtection="1">
      <alignment horizontal="right"/>
    </xf>
    <xf numFmtId="0" fontId="8" fillId="3" borderId="0" xfId="0" applyFont="1" applyFill="1" applyAlignment="1" applyProtection="1">
      <alignment horizontal="left" vertical="center"/>
    </xf>
    <xf numFmtId="0" fontId="29" fillId="3" borderId="0" xfId="0" applyFont="1" applyFill="1" applyAlignment="1" applyProtection="1">
      <alignment horizontal="center" vertical="center"/>
    </xf>
    <xf numFmtId="14" fontId="1" fillId="13" borderId="0" xfId="0" applyNumberFormat="1" applyFont="1" applyFill="1" applyAlignment="1" applyProtection="1">
      <alignment horizontal="left" vertical="center"/>
    </xf>
    <xf numFmtId="0" fontId="1" fillId="13" borderId="0" xfId="0" applyFont="1" applyFill="1" applyAlignment="1" applyProtection="1">
      <alignment horizontal="left" vertical="center"/>
    </xf>
    <xf numFmtId="14" fontId="1" fillId="13" borderId="0" xfId="0" applyNumberFormat="1" applyFont="1" applyFill="1" applyAlignment="1" applyProtection="1">
      <alignment horizontal="center" vertical="center"/>
    </xf>
    <xf numFmtId="0" fontId="19" fillId="3" borderId="0" xfId="0" applyFont="1" applyFill="1" applyAlignment="1" applyProtection="1">
      <alignment horizontal="center" vertical="center"/>
    </xf>
    <xf numFmtId="167" fontId="1" fillId="13" borderId="0" xfId="0" applyNumberFormat="1" applyFont="1" applyFill="1" applyAlignment="1" applyProtection="1">
      <alignment horizontal="center" vertical="center"/>
    </xf>
    <xf numFmtId="0" fontId="1" fillId="4" borderId="0" xfId="0" applyFont="1" applyFill="1" applyAlignment="1" applyProtection="1">
      <alignment horizontal="center" vertical="center"/>
    </xf>
    <xf numFmtId="0" fontId="1" fillId="12" borderId="0" xfId="0" applyFont="1" applyFill="1" applyAlignment="1" applyProtection="1">
      <alignment horizontal="right" vertical="center"/>
    </xf>
    <xf numFmtId="0" fontId="1" fillId="13" borderId="0" xfId="0" applyFont="1" applyFill="1" applyAlignment="1" applyProtection="1">
      <alignment horizontal="center" vertical="center"/>
    </xf>
    <xf numFmtId="0" fontId="1" fillId="3" borderId="0" xfId="0" applyFont="1" applyFill="1" applyBorder="1" applyAlignment="1" applyProtection="1">
      <alignment horizontal="center" vertical="center"/>
    </xf>
    <xf numFmtId="165" fontId="43" fillId="12" borderId="0" xfId="2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horizontal="center" vertical="center"/>
    </xf>
    <xf numFmtId="0" fontId="18" fillId="0" borderId="0" xfId="0" applyFont="1" applyFill="1" applyBorder="1" applyAlignment="1">
      <alignment horizontal="center" vertical="center" wrapText="1"/>
    </xf>
    <xf numFmtId="165" fontId="43" fillId="12" borderId="0" xfId="2" applyFont="1" applyFill="1" applyBorder="1" applyAlignment="1" applyProtection="1">
      <alignment horizontal="left" vertical="center"/>
    </xf>
    <xf numFmtId="165" fontId="3" fillId="13" borderId="9" xfId="2" applyFont="1" applyFill="1" applyBorder="1" applyAlignment="1" applyProtection="1">
      <alignment horizontal="center" vertical="center"/>
    </xf>
    <xf numFmtId="165" fontId="3" fillId="13" borderId="25" xfId="2" applyFont="1" applyFill="1" applyBorder="1" applyAlignment="1" applyProtection="1">
      <alignment horizontal="center" vertical="center"/>
    </xf>
    <xf numFmtId="165" fontId="3" fillId="13" borderId="11" xfId="2" applyFont="1" applyFill="1" applyBorder="1" applyAlignment="1" applyProtection="1">
      <alignment horizontal="center" vertical="center"/>
    </xf>
    <xf numFmtId="165" fontId="3" fillId="13" borderId="26" xfId="2" applyFont="1" applyFill="1" applyBorder="1" applyAlignment="1" applyProtection="1">
      <alignment horizontal="center" vertical="center"/>
    </xf>
    <xf numFmtId="165" fontId="48" fillId="12" borderId="0" xfId="2" applyFont="1" applyFill="1" applyBorder="1" applyAlignment="1" applyProtection="1">
      <alignment horizontal="left" vertical="center"/>
    </xf>
    <xf numFmtId="0" fontId="6" fillId="12" borderId="0" xfId="0" applyFont="1" applyFill="1" applyAlignment="1">
      <alignment horizontal="left" vertical="center" wrapText="1"/>
    </xf>
    <xf numFmtId="0" fontId="27" fillId="3" borderId="0" xfId="0" applyFont="1" applyFill="1" applyAlignment="1" applyProtection="1">
      <alignment horizontal="center" vertical="center"/>
    </xf>
    <xf numFmtId="167" fontId="3" fillId="13" borderId="11" xfId="0" applyNumberFormat="1" applyFont="1" applyFill="1" applyBorder="1" applyAlignment="1" applyProtection="1">
      <alignment horizontal="center" vertical="center"/>
    </xf>
    <xf numFmtId="167" fontId="3" fillId="13" borderId="26" xfId="0" applyNumberFormat="1" applyFont="1" applyFill="1" applyBorder="1" applyAlignment="1" applyProtection="1">
      <alignment horizontal="center" vertical="center"/>
    </xf>
    <xf numFmtId="0" fontId="6" fillId="12" borderId="0" xfId="0" applyFont="1" applyFill="1" applyAlignment="1" applyProtection="1">
      <alignment horizontal="center" vertical="center" wrapText="1"/>
    </xf>
    <xf numFmtId="1" fontId="48" fillId="3" borderId="0" xfId="0" applyNumberFormat="1" applyFont="1" applyFill="1" applyAlignment="1" applyProtection="1">
      <alignment horizontal="center" vertical="center"/>
    </xf>
    <xf numFmtId="0" fontId="48" fillId="3" borderId="0" xfId="0" applyFont="1" applyFill="1" applyAlignment="1" applyProtection="1">
      <alignment horizontal="center" vertical="center"/>
    </xf>
    <xf numFmtId="1" fontId="48" fillId="3" borderId="0" xfId="0" applyNumberFormat="1" applyFont="1" applyFill="1" applyBorder="1" applyAlignment="1" applyProtection="1">
      <alignment horizontal="center" vertical="center"/>
    </xf>
    <xf numFmtId="0" fontId="1" fillId="3" borderId="0" xfId="0" applyFont="1" applyFill="1" applyAlignment="1" applyProtection="1">
      <alignment horizontal="left" vertical="center"/>
    </xf>
    <xf numFmtId="0" fontId="3" fillId="3" borderId="8" xfId="0" applyFont="1" applyFill="1" applyBorder="1" applyAlignment="1" applyProtection="1">
      <alignment horizontal="left" vertical="center"/>
    </xf>
    <xf numFmtId="0" fontId="3" fillId="3" borderId="9" xfId="0" applyFont="1" applyFill="1" applyBorder="1" applyAlignment="1" applyProtection="1">
      <alignment horizontal="left" vertical="center"/>
    </xf>
    <xf numFmtId="167" fontId="3" fillId="13" borderId="9" xfId="0" applyNumberFormat="1" applyFont="1" applyFill="1" applyBorder="1" applyAlignment="1" applyProtection="1">
      <alignment horizontal="center" vertical="center"/>
    </xf>
    <xf numFmtId="0" fontId="3" fillId="13" borderId="9" xfId="0" applyFont="1" applyFill="1" applyBorder="1" applyAlignment="1" applyProtection="1">
      <alignment horizontal="center" vertical="center"/>
    </xf>
    <xf numFmtId="0" fontId="3" fillId="13" borderId="25" xfId="0" applyFont="1" applyFill="1" applyBorder="1" applyAlignment="1" applyProtection="1">
      <alignment horizontal="center" vertical="center"/>
    </xf>
    <xf numFmtId="0" fontId="60" fillId="18" borderId="0" xfId="0" applyFont="1" applyFill="1" applyAlignment="1" applyProtection="1">
      <alignment horizontal="center" vertical="center"/>
    </xf>
    <xf numFmtId="0" fontId="10" fillId="17" borderId="0" xfId="0" applyFont="1" applyFill="1" applyAlignment="1" applyProtection="1">
      <alignment horizontal="center" vertical="center"/>
    </xf>
    <xf numFmtId="0" fontId="10" fillId="17" borderId="6" xfId="0" applyFont="1" applyFill="1" applyBorder="1" applyAlignment="1" applyProtection="1">
      <alignment horizontal="center" vertical="center"/>
    </xf>
    <xf numFmtId="0" fontId="10" fillId="17" borderId="24" xfId="0" applyFont="1" applyFill="1" applyBorder="1" applyAlignment="1" applyProtection="1">
      <alignment horizontal="center" vertical="center"/>
    </xf>
    <xf numFmtId="0" fontId="49" fillId="17" borderId="0" xfId="0" applyFont="1" applyFill="1" applyAlignment="1" applyProtection="1">
      <alignment horizontal="right" vertical="center"/>
    </xf>
    <xf numFmtId="0" fontId="20" fillId="3" borderId="0" xfId="0" applyFont="1" applyFill="1" applyAlignment="1" applyProtection="1">
      <alignment horizontal="left" vertical="center"/>
    </xf>
    <xf numFmtId="0" fontId="3" fillId="0" borderId="0" xfId="0" applyFont="1" applyAlignment="1" applyProtection="1">
      <alignment horizontal="center"/>
    </xf>
    <xf numFmtId="165" fontId="85" fillId="12" borderId="0" xfId="2" applyFont="1" applyFill="1" applyAlignment="1" applyProtection="1">
      <alignment horizontal="center" vertical="center"/>
      <protection locked="0"/>
    </xf>
    <xf numFmtId="0" fontId="6" fillId="3" borderId="0" xfId="0" applyFont="1" applyFill="1" applyAlignment="1" applyProtection="1">
      <alignment horizontal="center" vertical="center" wrapText="1"/>
    </xf>
    <xf numFmtId="165" fontId="1" fillId="13" borderId="11" xfId="2" applyFont="1" applyFill="1" applyBorder="1" applyAlignment="1" applyProtection="1">
      <alignment horizontal="center" vertical="center"/>
    </xf>
    <xf numFmtId="165" fontId="1" fillId="13" borderId="26" xfId="2" applyFont="1" applyFill="1" applyBorder="1" applyAlignment="1" applyProtection="1">
      <alignment horizontal="center" vertical="center"/>
    </xf>
    <xf numFmtId="0" fontId="1" fillId="3" borderId="0" xfId="0" applyFont="1" applyFill="1" applyAlignment="1" applyProtection="1">
      <alignment horizontal="center" vertical="center"/>
    </xf>
    <xf numFmtId="0" fontId="0" fillId="12" borderId="49" xfId="0" applyFill="1" applyBorder="1" applyAlignment="1">
      <alignment horizontal="center" vertical="center"/>
    </xf>
    <xf numFmtId="0" fontId="0" fillId="12" borderId="50" xfId="0" applyFill="1" applyBorder="1" applyAlignment="1">
      <alignment horizontal="center" vertical="center"/>
    </xf>
    <xf numFmtId="0" fontId="0" fillId="12" borderId="51" xfId="0" applyFill="1" applyBorder="1" applyAlignment="1">
      <alignment horizontal="center" vertical="center"/>
    </xf>
    <xf numFmtId="0" fontId="0" fillId="33" borderId="49" xfId="0" applyFill="1" applyBorder="1" applyAlignment="1" applyProtection="1">
      <alignment horizontal="center" vertical="center"/>
      <protection locked="0"/>
    </xf>
    <xf numFmtId="0" fontId="0" fillId="33" borderId="50" xfId="0" applyFill="1" applyBorder="1" applyAlignment="1" applyProtection="1">
      <alignment horizontal="center" vertical="center"/>
      <protection locked="0"/>
    </xf>
    <xf numFmtId="0" fontId="0" fillId="33" borderId="51" xfId="0" applyFill="1" applyBorder="1" applyAlignment="1" applyProtection="1">
      <alignment horizontal="center" vertical="center"/>
      <protection locked="0"/>
    </xf>
    <xf numFmtId="0" fontId="34" fillId="9" borderId="0" xfId="0" applyFont="1" applyFill="1" applyBorder="1" applyAlignment="1">
      <alignment horizontal="center" vertical="center"/>
    </xf>
    <xf numFmtId="0" fontId="0" fillId="13" borderId="0" xfId="0" applyFill="1" applyBorder="1" applyAlignment="1" applyProtection="1">
      <alignment horizontal="center"/>
      <protection locked="0"/>
    </xf>
    <xf numFmtId="10" fontId="0" fillId="13" borderId="0" xfId="0" applyNumberFormat="1" applyFill="1" applyBorder="1" applyAlignment="1" applyProtection="1">
      <alignment horizontal="center"/>
      <protection locked="0"/>
    </xf>
    <xf numFmtId="0" fontId="0" fillId="13" borderId="0" xfId="0" applyFill="1" applyBorder="1" applyAlignment="1" applyProtection="1">
      <alignment horizontal="center" vertical="center" wrapText="1"/>
      <protection locked="0"/>
    </xf>
    <xf numFmtId="165" fontId="30" fillId="13" borderId="11" xfId="2" applyFont="1" applyFill="1" applyBorder="1" applyAlignment="1" applyProtection="1">
      <alignment horizontal="center"/>
    </xf>
    <xf numFmtId="0" fontId="34" fillId="9" borderId="0" xfId="0" applyFont="1" applyFill="1" applyBorder="1" applyAlignment="1">
      <alignment horizontal="center"/>
    </xf>
    <xf numFmtId="0" fontId="0" fillId="13" borderId="23" xfId="0" applyFill="1" applyBorder="1" applyAlignment="1" applyProtection="1">
      <alignment horizontal="center"/>
    </xf>
    <xf numFmtId="0" fontId="0" fillId="13" borderId="11" xfId="0" applyFill="1" applyBorder="1" applyAlignment="1" applyProtection="1">
      <alignment horizontal="center"/>
    </xf>
    <xf numFmtId="165" fontId="30" fillId="13" borderId="0" xfId="2" applyFont="1" applyFill="1" applyBorder="1" applyAlignment="1" applyProtection="1">
      <alignment horizontal="center"/>
    </xf>
    <xf numFmtId="10" fontId="0" fillId="12" borderId="11" xfId="0" applyNumberFormat="1" applyFill="1" applyBorder="1" applyAlignment="1">
      <alignment horizontal="center"/>
    </xf>
    <xf numFmtId="165" fontId="30" fillId="12" borderId="11" xfId="2" applyFont="1" applyFill="1" applyBorder="1" applyAlignment="1">
      <alignment horizontal="center"/>
    </xf>
    <xf numFmtId="9" fontId="0" fillId="13" borderId="23" xfId="0" applyNumberFormat="1" applyFill="1" applyBorder="1" applyAlignment="1" applyProtection="1">
      <alignment horizontal="center"/>
    </xf>
    <xf numFmtId="9" fontId="0" fillId="13" borderId="11" xfId="0" applyNumberFormat="1" applyFill="1" applyBorder="1" applyAlignment="1" applyProtection="1">
      <alignment horizontal="center"/>
    </xf>
    <xf numFmtId="0" fontId="0" fillId="13" borderId="0" xfId="0" applyFill="1" applyBorder="1" applyAlignment="1" applyProtection="1">
      <alignment horizontal="center"/>
    </xf>
    <xf numFmtId="0" fontId="0" fillId="12" borderId="38" xfId="0" applyFill="1" applyBorder="1" applyAlignment="1" applyProtection="1">
      <alignment horizontal="center" vertical="center" wrapText="1"/>
    </xf>
    <xf numFmtId="0" fontId="0" fillId="12" borderId="36" xfId="0" applyFill="1" applyBorder="1" applyAlignment="1" applyProtection="1">
      <alignment horizontal="center" vertical="center" wrapText="1"/>
    </xf>
    <xf numFmtId="0" fontId="34" fillId="9" borderId="0" xfId="0" applyFont="1" applyFill="1" applyBorder="1" applyAlignment="1" applyProtection="1">
      <alignment horizontal="center" vertical="center"/>
    </xf>
    <xf numFmtId="0" fontId="0" fillId="12" borderId="0" xfId="0" applyFill="1" applyBorder="1" applyAlignment="1">
      <alignment horizontal="left" vertical="center" wrapText="1"/>
    </xf>
    <xf numFmtId="10" fontId="0" fillId="13" borderId="23" xfId="0" applyNumberFormat="1" applyFill="1" applyBorder="1" applyAlignment="1" applyProtection="1">
      <alignment horizontal="center"/>
    </xf>
    <xf numFmtId="10" fontId="0" fillId="13" borderId="11" xfId="0" applyNumberFormat="1" applyFill="1" applyBorder="1" applyAlignment="1" applyProtection="1">
      <alignment horizontal="center"/>
    </xf>
    <xf numFmtId="10" fontId="0" fillId="13" borderId="21" xfId="0" applyNumberFormat="1" applyFill="1" applyBorder="1" applyAlignment="1" applyProtection="1">
      <alignment horizontal="center"/>
    </xf>
    <xf numFmtId="10" fontId="0" fillId="13" borderId="0" xfId="0" applyNumberFormat="1" applyFill="1" applyBorder="1" applyAlignment="1" applyProtection="1">
      <alignment horizontal="center"/>
    </xf>
    <xf numFmtId="0" fontId="0" fillId="13" borderId="33" xfId="0" applyFill="1" applyBorder="1" applyAlignment="1" applyProtection="1">
      <alignment horizontal="center"/>
      <protection locked="0"/>
    </xf>
    <xf numFmtId="0" fontId="0" fillId="12" borderId="0" xfId="0" applyFill="1" applyBorder="1" applyAlignment="1">
      <alignment horizontal="right" vertical="center" wrapText="1"/>
    </xf>
    <xf numFmtId="0" fontId="0" fillId="13" borderId="34" xfId="0" applyFill="1" applyBorder="1" applyAlignment="1" applyProtection="1">
      <alignment horizontal="center"/>
      <protection locked="0"/>
    </xf>
    <xf numFmtId="0" fontId="34" fillId="9" borderId="7" xfId="0" applyFont="1" applyFill="1" applyBorder="1" applyAlignment="1">
      <alignment horizontal="center"/>
    </xf>
    <xf numFmtId="0" fontId="1" fillId="13" borderId="0" xfId="0" applyFont="1" applyFill="1" applyBorder="1" applyAlignment="1" applyProtection="1">
      <alignment horizontal="center" vertical="center" wrapText="1"/>
      <protection locked="0"/>
    </xf>
    <xf numFmtId="0" fontId="0" fillId="12" borderId="0" xfId="0" applyFill="1" applyBorder="1" applyAlignment="1" applyProtection="1">
      <alignment horizontal="center" vertical="center" wrapText="1"/>
    </xf>
    <xf numFmtId="0" fontId="0" fillId="13" borderId="32" xfId="0" applyFill="1" applyBorder="1" applyAlignment="1" applyProtection="1">
      <alignment horizontal="center" vertical="center" wrapText="1"/>
      <protection locked="0"/>
    </xf>
    <xf numFmtId="0" fontId="0" fillId="13" borderId="6" xfId="0" applyFill="1" applyBorder="1" applyAlignment="1" applyProtection="1">
      <alignment horizontal="left" vertical="center"/>
    </xf>
    <xf numFmtId="0" fontId="0" fillId="13" borderId="9" xfId="0" applyFill="1" applyBorder="1" applyAlignment="1" applyProtection="1">
      <alignment horizontal="left" vertical="center"/>
    </xf>
    <xf numFmtId="0" fontId="0" fillId="13" borderId="9" xfId="0" applyFill="1" applyBorder="1" applyProtection="1"/>
    <xf numFmtId="0" fontId="0" fillId="13" borderId="0" xfId="0" applyFill="1" applyBorder="1" applyProtection="1"/>
    <xf numFmtId="165" fontId="30" fillId="13" borderId="23" xfId="2" applyFont="1" applyFill="1" applyBorder="1" applyAlignment="1" applyProtection="1">
      <alignment horizontal="center"/>
    </xf>
    <xf numFmtId="0" fontId="0" fillId="12" borderId="0" xfId="0" applyFill="1" applyBorder="1" applyAlignment="1">
      <alignment horizontal="center"/>
    </xf>
    <xf numFmtId="0" fontId="0" fillId="12" borderId="16" xfId="0" applyFill="1" applyBorder="1" applyAlignment="1">
      <alignment horizontal="center"/>
    </xf>
    <xf numFmtId="0" fontId="0" fillId="12" borderId="0" xfId="0" applyFill="1" applyBorder="1" applyAlignment="1">
      <alignment horizontal="center" vertical="center" wrapText="1"/>
    </xf>
    <xf numFmtId="0" fontId="0" fillId="12" borderId="36" xfId="0" applyFill="1" applyBorder="1" applyAlignment="1">
      <alignment horizontal="center" vertical="center" wrapText="1"/>
    </xf>
    <xf numFmtId="0" fontId="31" fillId="21" borderId="0" xfId="0" applyFont="1" applyFill="1" applyAlignment="1">
      <alignment horizontal="center"/>
    </xf>
    <xf numFmtId="165" fontId="30" fillId="12" borderId="22" xfId="2" applyFont="1" applyFill="1" applyBorder="1" applyAlignment="1">
      <alignment horizontal="center"/>
    </xf>
    <xf numFmtId="165" fontId="30" fillId="12" borderId="0" xfId="2" applyFont="1" applyFill="1" applyBorder="1" applyAlignment="1">
      <alignment horizontal="center"/>
    </xf>
    <xf numFmtId="0" fontId="0" fillId="12" borderId="12" xfId="0" applyFill="1" applyBorder="1" applyAlignment="1">
      <alignment horizontal="center"/>
    </xf>
    <xf numFmtId="0" fontId="0" fillId="12" borderId="13" xfId="0" applyFill="1" applyBorder="1" applyAlignment="1">
      <alignment horizontal="center"/>
    </xf>
    <xf numFmtId="0" fontId="0" fillId="12" borderId="17" xfId="0" applyFill="1" applyBorder="1" applyAlignment="1">
      <alignment horizontal="center"/>
    </xf>
    <xf numFmtId="0" fontId="0" fillId="12" borderId="18" xfId="0" applyFill="1" applyBorder="1" applyAlignment="1">
      <alignment horizontal="center"/>
    </xf>
    <xf numFmtId="0" fontId="34" fillId="12" borderId="37" xfId="0" applyFont="1" applyFill="1" applyBorder="1" applyAlignment="1">
      <alignment horizontal="center" vertical="center" wrapText="1"/>
    </xf>
    <xf numFmtId="0" fontId="34" fillId="12" borderId="35" xfId="0" applyFont="1" applyFill="1" applyBorder="1" applyAlignment="1">
      <alignment horizontal="center" vertical="center" wrapText="1"/>
    </xf>
    <xf numFmtId="0" fontId="34" fillId="9" borderId="0" xfId="0" applyFont="1" applyFill="1" applyBorder="1" applyAlignment="1">
      <alignment horizontal="center" vertical="center" wrapText="1"/>
    </xf>
    <xf numFmtId="165" fontId="0" fillId="13" borderId="0" xfId="2" applyFont="1" applyFill="1" applyBorder="1" applyAlignment="1" applyProtection="1">
      <alignment horizontal="center"/>
      <protection locked="0"/>
    </xf>
    <xf numFmtId="0" fontId="0" fillId="12" borderId="55" xfId="0" applyFill="1" applyBorder="1" applyAlignment="1">
      <alignment horizontal="center" vertical="center" wrapText="1"/>
    </xf>
    <xf numFmtId="0" fontId="0" fillId="12" borderId="56" xfId="0" applyFill="1" applyBorder="1" applyAlignment="1">
      <alignment horizontal="center" vertical="center" wrapText="1"/>
    </xf>
    <xf numFmtId="0" fontId="87" fillId="29" borderId="52" xfId="0" applyFont="1" applyFill="1" applyBorder="1" applyAlignment="1">
      <alignment horizontal="center" vertical="center" wrapText="1"/>
    </xf>
    <xf numFmtId="0" fontId="87" fillId="29" borderId="53" xfId="0" applyFont="1" applyFill="1" applyBorder="1" applyAlignment="1">
      <alignment horizontal="center" vertical="center" wrapText="1"/>
    </xf>
    <xf numFmtId="0" fontId="87" fillId="29" borderId="54" xfId="0" applyFont="1" applyFill="1" applyBorder="1" applyAlignment="1">
      <alignment horizontal="center" vertical="center" wrapText="1"/>
    </xf>
    <xf numFmtId="0" fontId="0" fillId="12" borderId="39" xfId="0" applyFill="1" applyBorder="1" applyAlignment="1">
      <alignment horizontal="center" vertical="center" wrapText="1"/>
    </xf>
    <xf numFmtId="0" fontId="31" fillId="12" borderId="18" xfId="0" applyFont="1" applyFill="1" applyBorder="1" applyAlignment="1">
      <alignment horizontal="center" vertical="center" wrapText="1"/>
    </xf>
    <xf numFmtId="0" fontId="31" fillId="12" borderId="19" xfId="0" applyFont="1" applyFill="1" applyBorder="1" applyAlignment="1">
      <alignment horizontal="center" vertical="center" wrapText="1"/>
    </xf>
    <xf numFmtId="0" fontId="34" fillId="12" borderId="36" xfId="0" applyFont="1" applyFill="1" applyBorder="1" applyAlignment="1">
      <alignment horizontal="center" vertical="center" wrapText="1"/>
    </xf>
    <xf numFmtId="0" fontId="34" fillId="13" borderId="36" xfId="0" applyFont="1" applyFill="1" applyBorder="1" applyAlignment="1" applyProtection="1">
      <alignment horizontal="center" vertical="center" wrapText="1"/>
      <protection locked="0"/>
    </xf>
    <xf numFmtId="0" fontId="0" fillId="13" borderId="38" xfId="0" applyFill="1" applyBorder="1" applyAlignment="1" applyProtection="1">
      <alignment horizontal="center" vertical="center" wrapText="1"/>
      <protection locked="0"/>
    </xf>
    <xf numFmtId="0" fontId="0" fillId="13" borderId="36" xfId="0" applyFill="1" applyBorder="1" applyAlignment="1" applyProtection="1">
      <alignment horizontal="center" vertical="center" wrapText="1"/>
      <protection locked="0"/>
    </xf>
  </cellXfs>
  <cellStyles count="4">
    <cellStyle name="Hiperlink" xfId="1" builtinId="8"/>
    <cellStyle name="Moeda" xfId="2" builtinId="4"/>
    <cellStyle name="Normal" xfId="0" builtinId="0"/>
    <cellStyle name="Vírgula" xfId="3" builtinId="3"/>
  </cellStyles>
  <dxfs count="35">
    <dxf>
      <font>
        <color theme="1"/>
      </font>
      <fill>
        <patternFill>
          <bgColor theme="0" tint="-0.14996795556505021"/>
        </patternFill>
      </fill>
    </dxf>
    <dxf>
      <font>
        <color theme="1"/>
      </font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3" tint="0.79998168889431442"/>
        </patternFill>
      </fill>
    </dxf>
    <dxf>
      <font>
        <color theme="3" tint="-0.24994659260841701"/>
      </font>
    </dxf>
    <dxf>
      <font>
        <color auto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1"/>
      </font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3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0" tint="-4.9989318521683403E-2"/>
        </patternFill>
      </fill>
    </dxf>
    <dxf>
      <font>
        <color theme="0"/>
      </font>
      <fill>
        <patternFill>
          <bgColor theme="0"/>
        </patternFill>
      </fill>
      <border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theme="0" tint="-4.9989318521683403E-2"/>
        </patternFill>
      </fill>
    </dxf>
    <dxf>
      <font>
        <color theme="0"/>
      </font>
    </dxf>
    <dxf>
      <font>
        <color theme="1"/>
      </font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ont>
        <color theme="3" tint="0.59996337778862885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3" tint="0.59996337778862885"/>
      </font>
      <fill>
        <patternFill>
          <bgColor theme="3" tint="0.59996337778862885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config!K6"/><Relationship Id="rId2" Type="http://schemas.openxmlformats.org/officeDocument/2006/relationships/hyperlink" Target="#menu_exp!A1"/><Relationship Id="rId1" Type="http://schemas.openxmlformats.org/officeDocument/2006/relationships/hyperlink" Target="#mascara!H6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hyperlink" Target="#masc_exp2!M6"/><Relationship Id="rId1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caciojunior.com" TargetMode="External"/><Relationship Id="rId2" Type="http://schemas.openxmlformats.org/officeDocument/2006/relationships/image" Target="../media/image10.jpeg"/><Relationship Id="rId1" Type="http://schemas.openxmlformats.org/officeDocument/2006/relationships/hyperlink" Target="#Menu!A1"/><Relationship Id="rId4" Type="http://schemas.openxmlformats.org/officeDocument/2006/relationships/image" Target="../media/image11.gi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masc_exp2!M6"/><Relationship Id="rId2" Type="http://schemas.openxmlformats.org/officeDocument/2006/relationships/hyperlink" Target="#masc_termino!L8"/><Relationship Id="rId1" Type="http://schemas.openxmlformats.org/officeDocument/2006/relationships/image" Target="../media/image3.jpeg"/><Relationship Id="rId6" Type="http://schemas.openxmlformats.org/officeDocument/2006/relationships/image" Target="../media/image2.jpeg"/><Relationship Id="rId5" Type="http://schemas.openxmlformats.org/officeDocument/2006/relationships/image" Target="../media/image1.jpeg"/><Relationship Id="rId4" Type="http://schemas.openxmlformats.org/officeDocument/2006/relationships/hyperlink" Target="#Menu!M6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mascara!H6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Menu!A1"/><Relationship Id="rId1" Type="http://schemas.openxmlformats.org/officeDocument/2006/relationships/hyperlink" Target="#calculo!A1"/><Relationship Id="rId5" Type="http://schemas.openxmlformats.org/officeDocument/2006/relationships/hyperlink" Target="#Pro!A1"/><Relationship Id="rId4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mascara!H6"/><Relationship Id="rId1" Type="http://schemas.openxmlformats.org/officeDocument/2006/relationships/image" Target="../media/image7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calculo!A1"/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Menu!A1"/><Relationship Id="rId2" Type="http://schemas.openxmlformats.org/officeDocument/2006/relationships/hyperlink" Target="#termin_exp!A1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5" Type="http://schemas.openxmlformats.org/officeDocument/2006/relationships/image" Target="../media/image1.jpeg"/><Relationship Id="rId4" Type="http://schemas.openxmlformats.org/officeDocument/2006/relationships/hyperlink" Target="#menu_exp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hyperlink" Target="#masc_termino!L8"/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Menu!A1"/><Relationship Id="rId2" Type="http://schemas.openxmlformats.org/officeDocument/2006/relationships/hyperlink" Target="#exp2!A1"/><Relationship Id="rId1" Type="http://schemas.openxmlformats.org/officeDocument/2006/relationships/image" Target="../media/image3.jpeg"/><Relationship Id="rId6" Type="http://schemas.openxmlformats.org/officeDocument/2006/relationships/image" Target="../media/image9.jpeg"/><Relationship Id="rId5" Type="http://schemas.openxmlformats.org/officeDocument/2006/relationships/image" Target="../media/image1.jpeg"/><Relationship Id="rId4" Type="http://schemas.openxmlformats.org/officeDocument/2006/relationships/hyperlink" Target="#menu_exp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95249</xdr:colOff>
      <xdr:row>13</xdr:row>
      <xdr:rowOff>0</xdr:rowOff>
    </xdr:from>
    <xdr:to>
      <xdr:col>21</xdr:col>
      <xdr:colOff>333374</xdr:colOff>
      <xdr:row>16</xdr:row>
      <xdr:rowOff>57150</xdr:rowOff>
    </xdr:to>
    <xdr:sp macro="" textlink="">
      <xdr:nvSpPr>
        <xdr:cNvPr id="3" name="Retângulo de cantos arredondados 2">
          <a:hlinkClick xmlns:r="http://schemas.openxmlformats.org/officeDocument/2006/relationships" r:id="rId1"/>
        </xdr:cNvPr>
        <xdr:cNvSpPr/>
      </xdr:nvSpPr>
      <xdr:spPr>
        <a:xfrm>
          <a:off x="1695449" y="2000250"/>
          <a:ext cx="3800475" cy="628650"/>
        </a:xfrm>
        <a:prstGeom prst="round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pt-BR" sz="1400" b="1">
              <a:solidFill>
                <a:sysClr val="windowText" lastClr="000000"/>
              </a:solidFill>
            </a:rPr>
            <a:t>Cálculo de rescisão de contrato de trabalho</a:t>
          </a:r>
        </a:p>
      </xdr:txBody>
    </xdr:sp>
    <xdr:clientData/>
  </xdr:twoCellAnchor>
  <xdr:twoCellAnchor>
    <xdr:from>
      <xdr:col>4</xdr:col>
      <xdr:colOff>95250</xdr:colOff>
      <xdr:row>17</xdr:row>
      <xdr:rowOff>45161</xdr:rowOff>
    </xdr:from>
    <xdr:to>
      <xdr:col>22</xdr:col>
      <xdr:colOff>236</xdr:colOff>
      <xdr:row>20</xdr:row>
      <xdr:rowOff>171450</xdr:rowOff>
    </xdr:to>
    <xdr:sp macro="" textlink="">
      <xdr:nvSpPr>
        <xdr:cNvPr id="5" name="Retângulo de cantos arredondados 4">
          <a:hlinkClick xmlns:r="http://schemas.openxmlformats.org/officeDocument/2006/relationships" r:id="rId2"/>
        </xdr:cNvPr>
        <xdr:cNvSpPr/>
      </xdr:nvSpPr>
      <xdr:spPr>
        <a:xfrm>
          <a:off x="1695450" y="2807411"/>
          <a:ext cx="3800711" cy="697789"/>
        </a:xfrm>
        <a:prstGeom prst="round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pt-BR" sz="1400" b="1">
              <a:solidFill>
                <a:schemeClr val="tx1"/>
              </a:solidFill>
            </a:rPr>
            <a:t>Cálculo de rescisão de </a:t>
          </a:r>
          <a:r>
            <a:rPr lang="pt-BR" sz="1400" b="1" u="sng">
              <a:solidFill>
                <a:schemeClr val="tx1"/>
              </a:solidFill>
            </a:rPr>
            <a:t>contrato de experiência</a:t>
          </a:r>
        </a:p>
      </xdr:txBody>
    </xdr:sp>
    <xdr:clientData/>
  </xdr:twoCellAnchor>
  <xdr:twoCellAnchor>
    <xdr:from>
      <xdr:col>18</xdr:col>
      <xdr:colOff>200025</xdr:colOff>
      <xdr:row>27</xdr:row>
      <xdr:rowOff>180975</xdr:rowOff>
    </xdr:from>
    <xdr:to>
      <xdr:col>25</xdr:col>
      <xdr:colOff>114300</xdr:colOff>
      <xdr:row>29</xdr:row>
      <xdr:rowOff>133350</xdr:rowOff>
    </xdr:to>
    <xdr:sp macro="" textlink="">
      <xdr:nvSpPr>
        <xdr:cNvPr id="6" name="Retângulo de cantos arredondados 5">
          <a:hlinkClick xmlns:r="http://schemas.openxmlformats.org/officeDocument/2006/relationships" r:id="rId3"/>
        </xdr:cNvPr>
        <xdr:cNvSpPr/>
      </xdr:nvSpPr>
      <xdr:spPr bwMode="auto">
        <a:xfrm>
          <a:off x="3971925" y="3724275"/>
          <a:ext cx="1381125" cy="333375"/>
        </a:xfrm>
        <a:prstGeom prst="roundRect">
          <a:avLst/>
        </a:prstGeom>
        <a:ln>
          <a:headEnd/>
          <a:tailEnd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91440" tIns="45720" rIns="91440" bIns="45720" rtlCol="0" anchor="ctr" upright="1"/>
        <a:lstStyle/>
        <a:p>
          <a:pPr algn="ctr" rtl="1"/>
          <a:r>
            <a:rPr lang="pt-BR" sz="1100" b="1" i="0" strike="noStrike">
              <a:solidFill>
                <a:schemeClr val="tx1"/>
              </a:solidFill>
              <a:latin typeface="Calibri"/>
              <a:cs typeface="Calibri"/>
            </a:rPr>
            <a:t>Configurações</a:t>
          </a:r>
        </a:p>
      </xdr:txBody>
    </xdr:sp>
    <xdr:clientData/>
  </xdr:twoCellAnchor>
  <xdr:twoCellAnchor editAs="oneCell">
    <xdr:from>
      <xdr:col>21</xdr:col>
      <xdr:colOff>219075</xdr:colOff>
      <xdr:row>0</xdr:row>
      <xdr:rowOff>0</xdr:rowOff>
    </xdr:from>
    <xdr:to>
      <xdr:col>25</xdr:col>
      <xdr:colOff>219074</xdr:colOff>
      <xdr:row>3</xdr:row>
      <xdr:rowOff>9525</xdr:rowOff>
    </xdr:to>
    <xdr:pic>
      <xdr:nvPicPr>
        <xdr:cNvPr id="9" name="Imagem 8" descr="planilha+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81625" y="0"/>
          <a:ext cx="1333499" cy="504825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</xdr:spPr>
    </xdr:pic>
    <xdr:clientData/>
  </xdr:twoCellAnchor>
  <xdr:twoCellAnchor editAs="oneCell">
    <xdr:from>
      <xdr:col>3</xdr:col>
      <xdr:colOff>266700</xdr:colOff>
      <xdr:row>1</xdr:row>
      <xdr:rowOff>57150</xdr:rowOff>
    </xdr:from>
    <xdr:to>
      <xdr:col>20</xdr:col>
      <xdr:colOff>159258</xdr:colOff>
      <xdr:row>6</xdr:row>
      <xdr:rowOff>16002</xdr:rowOff>
    </xdr:to>
    <xdr:pic>
      <xdr:nvPicPr>
        <xdr:cNvPr id="7" name="Imagem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247650"/>
          <a:ext cx="3645408" cy="83515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0</xdr:rowOff>
    </xdr:from>
    <xdr:to>
      <xdr:col>1</xdr:col>
      <xdr:colOff>28575</xdr:colOff>
      <xdr:row>0</xdr:row>
      <xdr:rowOff>142875</xdr:rowOff>
    </xdr:to>
    <xdr:pic>
      <xdr:nvPicPr>
        <xdr:cNvPr id="7015" name="Imagem 5" descr="Logo Sincomerciarios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7650" y="0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190500</xdr:colOff>
      <xdr:row>43</xdr:row>
      <xdr:rowOff>9525</xdr:rowOff>
    </xdr:from>
    <xdr:to>
      <xdr:col>25</xdr:col>
      <xdr:colOff>99441</xdr:colOff>
      <xdr:row>45</xdr:row>
      <xdr:rowOff>0</xdr:rowOff>
    </xdr:to>
    <xdr:sp macro="" textlink="">
      <xdr:nvSpPr>
        <xdr:cNvPr id="3" name="Retângulo 2">
          <a:hlinkClick xmlns:r="http://schemas.openxmlformats.org/officeDocument/2006/relationships" r:id="rId2"/>
        </xdr:cNvPr>
        <xdr:cNvSpPr>
          <a:spLocks noChangeArrowheads="1"/>
        </xdr:cNvSpPr>
      </xdr:nvSpPr>
      <xdr:spPr bwMode="auto">
        <a:xfrm>
          <a:off x="3981450" y="5943600"/>
          <a:ext cx="1766316" cy="361950"/>
        </a:xfrm>
        <a:prstGeom prst="rect">
          <a:avLst/>
        </a:prstGeom>
        <a:solidFill>
          <a:srgbClr val="4F81BD"/>
        </a:solidFill>
        <a:ln w="25400" algn="ctr">
          <a:solidFill>
            <a:srgbClr val="385D8A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1">
            <a:defRPr sz="1000"/>
          </a:pPr>
          <a:r>
            <a:rPr lang="pt-BR" sz="1100" b="0" i="0" strike="noStrike">
              <a:solidFill>
                <a:srgbClr val="FFFFFF"/>
              </a:solidFill>
              <a:latin typeface="Calibri"/>
              <a:cs typeface="Calibri"/>
            </a:rPr>
            <a:t>N O V O     C A L C U L O</a:t>
          </a:r>
        </a:p>
      </xdr:txBody>
    </xdr:sp>
    <xdr:clientData fPrintsWithSheet="0"/>
  </xdr:twoCellAnchor>
  <xdr:twoCellAnchor editAs="oneCell">
    <xdr:from>
      <xdr:col>21</xdr:col>
      <xdr:colOff>200026</xdr:colOff>
      <xdr:row>0</xdr:row>
      <xdr:rowOff>76200</xdr:rowOff>
    </xdr:from>
    <xdr:to>
      <xdr:col>26</xdr:col>
      <xdr:colOff>215266</xdr:colOff>
      <xdr:row>1</xdr:row>
      <xdr:rowOff>9525</xdr:rowOff>
    </xdr:to>
    <xdr:sp macro="" textlink="">
      <xdr:nvSpPr>
        <xdr:cNvPr id="4" name="Retângulo 2">
          <a:hlinkClick xmlns:r="http://schemas.openxmlformats.org/officeDocument/2006/relationships" r:id="rId2"/>
        </xdr:cNvPr>
        <xdr:cNvSpPr>
          <a:spLocks noChangeArrowheads="1"/>
        </xdr:cNvSpPr>
      </xdr:nvSpPr>
      <xdr:spPr bwMode="auto">
        <a:xfrm>
          <a:off x="4905376" y="76200"/>
          <a:ext cx="1158240" cy="361950"/>
        </a:xfrm>
        <a:prstGeom prst="rect">
          <a:avLst/>
        </a:prstGeom>
        <a:solidFill>
          <a:srgbClr val="4F81BD"/>
        </a:solidFill>
        <a:ln w="25400" algn="ctr">
          <a:solidFill>
            <a:srgbClr val="385D8A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1">
            <a:defRPr sz="1000"/>
          </a:pPr>
          <a:r>
            <a:rPr lang="pt-BR" sz="1100" b="0" i="0" strike="noStrike">
              <a:solidFill>
                <a:srgbClr val="FFFFFF"/>
              </a:solidFill>
              <a:latin typeface="Calibri"/>
              <a:cs typeface="Calibri"/>
            </a:rPr>
            <a:t>Voltar </a:t>
          </a:r>
          <a:r>
            <a:rPr lang="pt-BR" sz="1100" b="0" i="0" strike="noStrike" baseline="0">
              <a:solidFill>
                <a:srgbClr val="FFFFFF"/>
              </a:solidFill>
              <a:latin typeface="Calibri"/>
              <a:cs typeface="Calibri"/>
            </a:rPr>
            <a:t> </a:t>
          </a:r>
          <a:r>
            <a:rPr lang="pt-BR" sz="1100" b="0" i="0" strike="noStrike">
              <a:solidFill>
                <a:srgbClr val="FFFFFF"/>
              </a:solidFill>
              <a:latin typeface="Calibri"/>
              <a:cs typeface="Calibri"/>
            </a:rPr>
            <a:t>tela</a:t>
          </a:r>
        </a:p>
      </xdr:txBody>
    </xdr:sp>
    <xdr:clientData fPrintsWithSheet="0"/>
  </xdr:twoCellAnchor>
  <xdr:twoCellAnchor editAs="oneCell">
    <xdr:from>
      <xdr:col>1</xdr:col>
      <xdr:colOff>28575</xdr:colOff>
      <xdr:row>0</xdr:row>
      <xdr:rowOff>171450</xdr:rowOff>
    </xdr:from>
    <xdr:to>
      <xdr:col>12</xdr:col>
      <xdr:colOff>169852</xdr:colOff>
      <xdr:row>2</xdr:row>
      <xdr:rowOff>104775</xdr:rowOff>
    </xdr:to>
    <xdr:pic>
      <xdr:nvPicPr>
        <xdr:cNvPr id="6" name="Imagem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71450"/>
          <a:ext cx="2617777" cy="6000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19050</xdr:colOff>
      <xdr:row>0</xdr:row>
      <xdr:rowOff>85724</xdr:rowOff>
    </xdr:from>
    <xdr:to>
      <xdr:col>22</xdr:col>
      <xdr:colOff>76200</xdr:colOff>
      <xdr:row>2</xdr:row>
      <xdr:rowOff>123825</xdr:rowOff>
    </xdr:to>
    <xdr:sp macro="" textlink="">
      <xdr:nvSpPr>
        <xdr:cNvPr id="2" name="Retângulo de cantos arredondados 1">
          <a:hlinkClick xmlns:r="http://schemas.openxmlformats.org/officeDocument/2006/relationships" r:id="rId1"/>
        </xdr:cNvPr>
        <xdr:cNvSpPr/>
      </xdr:nvSpPr>
      <xdr:spPr bwMode="auto">
        <a:xfrm>
          <a:off x="4876800" y="85724"/>
          <a:ext cx="1485900" cy="419101"/>
        </a:xfrm>
        <a:prstGeom prst="roundRect">
          <a:avLst/>
        </a:prstGeom>
        <a:solidFill>
          <a:srgbClr val="4F81BD"/>
        </a:solidFill>
        <a:ln w="25400" algn="ctr">
          <a:solidFill>
            <a:srgbClr val="385D8A"/>
          </a:solidFill>
          <a:miter lim="800000"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 rtl="1"/>
          <a:r>
            <a:rPr lang="pt-BR" sz="1100" b="0" i="0" strike="noStrike">
              <a:solidFill>
                <a:srgbClr val="FFFFFF"/>
              </a:solidFill>
              <a:latin typeface="Calibri"/>
              <a:cs typeface="Calibri"/>
            </a:rPr>
            <a:t>Voltar ao menu</a:t>
          </a:r>
        </a:p>
      </xdr:txBody>
    </xdr:sp>
    <xdr:clientData fPrintsWithSheet="0"/>
  </xdr:twoCellAnchor>
  <xdr:twoCellAnchor>
    <xdr:from>
      <xdr:col>22</xdr:col>
      <xdr:colOff>0</xdr:colOff>
      <xdr:row>113</xdr:row>
      <xdr:rowOff>0</xdr:rowOff>
    </xdr:from>
    <xdr:to>
      <xdr:col>26</xdr:col>
      <xdr:colOff>276225</xdr:colOff>
      <xdr:row>115</xdr:row>
      <xdr:rowOff>19051</xdr:rowOff>
    </xdr:to>
    <xdr:sp macro="" textlink="">
      <xdr:nvSpPr>
        <xdr:cNvPr id="4" name="Retângulo de cantos arredondados 3">
          <a:hlinkClick xmlns:r="http://schemas.openxmlformats.org/officeDocument/2006/relationships" r:id="rId1"/>
        </xdr:cNvPr>
        <xdr:cNvSpPr/>
      </xdr:nvSpPr>
      <xdr:spPr bwMode="auto">
        <a:xfrm>
          <a:off x="6286500" y="13887450"/>
          <a:ext cx="1485900" cy="419101"/>
        </a:xfrm>
        <a:prstGeom prst="roundRect">
          <a:avLst/>
        </a:prstGeom>
        <a:solidFill>
          <a:srgbClr val="4F81BD"/>
        </a:solidFill>
        <a:ln w="25400" algn="ctr">
          <a:solidFill>
            <a:srgbClr val="385D8A"/>
          </a:solidFill>
          <a:miter lim="800000"/>
          <a:headEnd/>
          <a:tailEnd/>
        </a:ln>
      </xdr:spPr>
      <xdr:txBody>
        <a:bodyPr vertOverflow="clip" wrap="square" lIns="91440" tIns="45720" rIns="91440" bIns="45720" rtlCol="0" anchor="ctr" upright="1"/>
        <a:lstStyle/>
        <a:p>
          <a:pPr algn="ctr" rtl="1"/>
          <a:r>
            <a:rPr lang="pt-BR" sz="1100" b="0" i="0" strike="noStrike">
              <a:solidFill>
                <a:srgbClr val="FFFFFF"/>
              </a:solidFill>
              <a:latin typeface="Calibri"/>
              <a:cs typeface="Calibri"/>
            </a:rPr>
            <a:t>Voltar ao menu</a:t>
          </a:r>
        </a:p>
      </xdr:txBody>
    </xdr:sp>
    <xdr:clientData fPrintsWithSheet="0"/>
  </xdr:twoCellAnchor>
  <xdr:twoCellAnchor editAs="oneCell">
    <xdr:from>
      <xdr:col>23</xdr:col>
      <xdr:colOff>41326</xdr:colOff>
      <xdr:row>0</xdr:row>
      <xdr:rowOff>166626</xdr:rowOff>
    </xdr:from>
    <xdr:to>
      <xdr:col>32</xdr:col>
      <xdr:colOff>134470</xdr:colOff>
      <xdr:row>4</xdr:row>
      <xdr:rowOff>28328</xdr:rowOff>
    </xdr:to>
    <xdr:pic>
      <xdr:nvPicPr>
        <xdr:cNvPr id="5" name="Imagem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2444" y="166626"/>
          <a:ext cx="2771350" cy="634908"/>
        </a:xfrm>
        <a:prstGeom prst="rect">
          <a:avLst/>
        </a:prstGeom>
      </xdr:spPr>
    </xdr:pic>
    <xdr:clientData/>
  </xdr:twoCellAnchor>
  <xdr:twoCellAnchor editAs="oneCell">
    <xdr:from>
      <xdr:col>19</xdr:col>
      <xdr:colOff>78440</xdr:colOff>
      <xdr:row>25</xdr:row>
      <xdr:rowOff>683559</xdr:rowOff>
    </xdr:from>
    <xdr:to>
      <xdr:col>34</xdr:col>
      <xdr:colOff>212912</xdr:colOff>
      <xdr:row>43</xdr:row>
      <xdr:rowOff>78441</xdr:rowOff>
    </xdr:to>
    <xdr:pic>
      <xdr:nvPicPr>
        <xdr:cNvPr id="6" name="Imagem 5">
          <a:hlinkClick xmlns:r="http://schemas.openxmlformats.org/officeDocument/2006/relationships" r:id="rId3"/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4146" y="5625353"/>
          <a:ext cx="4560795" cy="35298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85725</xdr:colOff>
      <xdr:row>2</xdr:row>
      <xdr:rowOff>28575</xdr:rowOff>
    </xdr:from>
    <xdr:to>
      <xdr:col>3</xdr:col>
      <xdr:colOff>85725</xdr:colOff>
      <xdr:row>6</xdr:row>
      <xdr:rowOff>9525</xdr:rowOff>
    </xdr:to>
    <xdr:pic>
      <xdr:nvPicPr>
        <xdr:cNvPr id="10754" name="Imagem 5" descr="Logo Sincomerciarios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4375" y="333375"/>
          <a:ext cx="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161925</xdr:colOff>
      <xdr:row>11</xdr:row>
      <xdr:rowOff>123825</xdr:rowOff>
    </xdr:from>
    <xdr:to>
      <xdr:col>19</xdr:col>
      <xdr:colOff>0</xdr:colOff>
      <xdr:row>13</xdr:row>
      <xdr:rowOff>133350</xdr:rowOff>
    </xdr:to>
    <xdr:sp macro="" textlink="">
      <xdr:nvSpPr>
        <xdr:cNvPr id="3" name="Retângulo de cantos arredondados 2">
          <a:hlinkClick xmlns:r="http://schemas.openxmlformats.org/officeDocument/2006/relationships" r:id="rId2"/>
        </xdr:cNvPr>
        <xdr:cNvSpPr/>
      </xdr:nvSpPr>
      <xdr:spPr>
        <a:xfrm>
          <a:off x="1000125" y="1952625"/>
          <a:ext cx="2981325" cy="390525"/>
        </a:xfrm>
        <a:prstGeom prst="round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pt-BR" sz="1100" b="1">
              <a:solidFill>
                <a:schemeClr val="tx1"/>
              </a:solidFill>
            </a:rPr>
            <a:t>Rescisão por término do contrato</a:t>
          </a:r>
        </a:p>
      </xdr:txBody>
    </xdr:sp>
    <xdr:clientData/>
  </xdr:twoCellAnchor>
  <xdr:twoCellAnchor>
    <xdr:from>
      <xdr:col>4</xdr:col>
      <xdr:colOff>161925</xdr:colOff>
      <xdr:row>15</xdr:row>
      <xdr:rowOff>85725</xdr:rowOff>
    </xdr:from>
    <xdr:to>
      <xdr:col>19</xdr:col>
      <xdr:colOff>0</xdr:colOff>
      <xdr:row>17</xdr:row>
      <xdr:rowOff>95250</xdr:rowOff>
    </xdr:to>
    <xdr:sp macro="" textlink="">
      <xdr:nvSpPr>
        <xdr:cNvPr id="5" name="Retângulo de cantos arredondados 4">
          <a:hlinkClick xmlns:r="http://schemas.openxmlformats.org/officeDocument/2006/relationships" r:id="rId3"/>
        </xdr:cNvPr>
        <xdr:cNvSpPr/>
      </xdr:nvSpPr>
      <xdr:spPr>
        <a:xfrm>
          <a:off x="1000125" y="2676525"/>
          <a:ext cx="2981325" cy="390525"/>
        </a:xfrm>
        <a:prstGeom prst="round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pt-BR" sz="1100" b="1">
              <a:solidFill>
                <a:schemeClr val="tx1"/>
              </a:solidFill>
            </a:rPr>
            <a:t>Rescisão antecipada do contrato</a:t>
          </a:r>
        </a:p>
      </xdr:txBody>
    </xdr:sp>
    <xdr:clientData/>
  </xdr:twoCellAnchor>
  <xdr:twoCellAnchor>
    <xdr:from>
      <xdr:col>4</xdr:col>
      <xdr:colOff>161925</xdr:colOff>
      <xdr:row>19</xdr:row>
      <xdr:rowOff>47625</xdr:rowOff>
    </xdr:from>
    <xdr:to>
      <xdr:col>19</xdr:col>
      <xdr:colOff>0</xdr:colOff>
      <xdr:row>21</xdr:row>
      <xdr:rowOff>57150</xdr:rowOff>
    </xdr:to>
    <xdr:sp macro="" textlink="">
      <xdr:nvSpPr>
        <xdr:cNvPr id="6" name="Retângulo de cantos arredondados 5">
          <a:hlinkClick xmlns:r="http://schemas.openxmlformats.org/officeDocument/2006/relationships" r:id="rId4"/>
        </xdr:cNvPr>
        <xdr:cNvSpPr/>
      </xdr:nvSpPr>
      <xdr:spPr>
        <a:xfrm>
          <a:off x="1000125" y="3400425"/>
          <a:ext cx="2981325" cy="390525"/>
        </a:xfrm>
        <a:prstGeom prst="round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pt-BR" sz="1100" b="1">
              <a:solidFill>
                <a:schemeClr val="tx1"/>
              </a:solidFill>
            </a:rPr>
            <a:t>Voltar ao menu principal</a:t>
          </a:r>
        </a:p>
      </xdr:txBody>
    </xdr:sp>
    <xdr:clientData/>
  </xdr:twoCellAnchor>
  <xdr:twoCellAnchor editAs="oneCell">
    <xdr:from>
      <xdr:col>19</xdr:col>
      <xdr:colOff>190501</xdr:colOff>
      <xdr:row>0</xdr:row>
      <xdr:rowOff>0</xdr:rowOff>
    </xdr:from>
    <xdr:to>
      <xdr:col>25</xdr:col>
      <xdr:colOff>171449</xdr:colOff>
      <xdr:row>3</xdr:row>
      <xdr:rowOff>9525</xdr:rowOff>
    </xdr:to>
    <xdr:pic>
      <xdr:nvPicPr>
        <xdr:cNvPr id="7" name="Imagem 6" descr="planilha+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171951" y="0"/>
          <a:ext cx="1238248" cy="504825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</xdr:spPr>
    </xdr:pic>
    <xdr:clientData/>
  </xdr:twoCellAnchor>
  <xdr:twoCellAnchor editAs="oneCell">
    <xdr:from>
      <xdr:col>2</xdr:col>
      <xdr:colOff>57150</xdr:colOff>
      <xdr:row>1</xdr:row>
      <xdr:rowOff>95250</xdr:rowOff>
    </xdr:from>
    <xdr:to>
      <xdr:col>19</xdr:col>
      <xdr:colOff>140208</xdr:colOff>
      <xdr:row>6</xdr:row>
      <xdr:rowOff>54102</xdr:rowOff>
    </xdr:to>
    <xdr:pic>
      <xdr:nvPicPr>
        <xdr:cNvPr id="8" name="Imagem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285750"/>
          <a:ext cx="3645408" cy="8351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243840</xdr:colOff>
      <xdr:row>39</xdr:row>
      <xdr:rowOff>169164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339840" cy="7598664"/>
        </a:xfrm>
        <a:prstGeom prst="rect">
          <a:avLst/>
        </a:prstGeom>
      </xdr:spPr>
    </xdr:pic>
    <xdr:clientData/>
  </xdr:twoCellAnchor>
  <xdr:twoCellAnchor>
    <xdr:from>
      <xdr:col>9</xdr:col>
      <xdr:colOff>171450</xdr:colOff>
      <xdr:row>0</xdr:row>
      <xdr:rowOff>47625</xdr:rowOff>
    </xdr:from>
    <xdr:to>
      <xdr:col>10</xdr:col>
      <xdr:colOff>504825</xdr:colOff>
      <xdr:row>1</xdr:row>
      <xdr:rowOff>133350</xdr:rowOff>
    </xdr:to>
    <xdr:sp macro="" textlink="">
      <xdr:nvSpPr>
        <xdr:cNvPr id="3" name="Retângulo de cantos arredondados 2">
          <a:hlinkClick xmlns:r="http://schemas.openxmlformats.org/officeDocument/2006/relationships" r:id="rId2"/>
        </xdr:cNvPr>
        <xdr:cNvSpPr/>
      </xdr:nvSpPr>
      <xdr:spPr bwMode="auto">
        <a:xfrm>
          <a:off x="5657850" y="47625"/>
          <a:ext cx="942975" cy="276225"/>
        </a:xfrm>
        <a:prstGeom prst="roundRect">
          <a:avLst/>
        </a:prstGeom>
        <a:solidFill>
          <a:srgbClr val="4F81BD"/>
        </a:solidFill>
        <a:ln w="25400" algn="ctr">
          <a:solidFill>
            <a:srgbClr val="385D8A"/>
          </a:solidFill>
          <a:miter lim="800000"/>
          <a:headEnd/>
          <a:tailEnd/>
        </a:ln>
      </xdr:spPr>
      <xdr:txBody>
        <a:bodyPr vertOverflow="clip" horzOverflow="clip" wrap="square" lIns="91440" tIns="45720" rIns="91440" bIns="45720" rtlCol="0" anchor="t" upright="1"/>
        <a:lstStyle/>
        <a:p>
          <a:pPr algn="ctr" rtl="1"/>
          <a:r>
            <a:rPr lang="pt-BR" sz="1100" b="1" i="0" strike="noStrike">
              <a:solidFill>
                <a:srgbClr val="FFFFFF"/>
              </a:solidFill>
              <a:latin typeface="Calibri"/>
              <a:cs typeface="Calibri"/>
            </a:rPr>
            <a:t>Voltar</a:t>
          </a:r>
        </a:p>
      </xdr:txBody>
    </xdr:sp>
    <xdr:clientData/>
  </xdr:twoCellAnchor>
  <xdr:twoCellAnchor editAs="oneCell">
    <xdr:from>
      <xdr:col>0</xdr:col>
      <xdr:colOff>0</xdr:colOff>
      <xdr:row>41</xdr:row>
      <xdr:rowOff>0</xdr:rowOff>
    </xdr:from>
    <xdr:to>
      <xdr:col>16</xdr:col>
      <xdr:colOff>304800</xdr:colOff>
      <xdr:row>66</xdr:row>
      <xdr:rowOff>171325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10500"/>
          <a:ext cx="10058400" cy="49338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147638</xdr:colOff>
      <xdr:row>22</xdr:row>
      <xdr:rowOff>10510</xdr:rowOff>
    </xdr:from>
    <xdr:to>
      <xdr:col>20</xdr:col>
      <xdr:colOff>2957</xdr:colOff>
      <xdr:row>23</xdr:row>
      <xdr:rowOff>114300</xdr:rowOff>
    </xdr:to>
    <xdr:sp macro="" textlink="">
      <xdr:nvSpPr>
        <xdr:cNvPr id="3" name="Retângulo 2">
          <a:hlinkClick xmlns:r="http://schemas.openxmlformats.org/officeDocument/2006/relationships" r:id="rId1"/>
        </xdr:cNvPr>
        <xdr:cNvSpPr/>
      </xdr:nvSpPr>
      <xdr:spPr>
        <a:xfrm>
          <a:off x="6805613" y="2648935"/>
          <a:ext cx="1217394" cy="380015"/>
        </a:xfrm>
        <a:prstGeom prst="rect">
          <a:avLst/>
        </a:prstGeom>
        <a:ln/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pt-BR" sz="1100" b="1"/>
            <a:t>C A L C U L A R</a:t>
          </a:r>
        </a:p>
      </xdr:txBody>
    </xdr:sp>
    <xdr:clientData fPrintsWithSheet="0"/>
  </xdr:twoCellAnchor>
  <xdr:twoCellAnchor>
    <xdr:from>
      <xdr:col>18</xdr:col>
      <xdr:colOff>152399</xdr:colOff>
      <xdr:row>23</xdr:row>
      <xdr:rowOff>180975</xdr:rowOff>
    </xdr:from>
    <xdr:to>
      <xdr:col>19</xdr:col>
      <xdr:colOff>567887</xdr:colOff>
      <xdr:row>26</xdr:row>
      <xdr:rowOff>9524</xdr:rowOff>
    </xdr:to>
    <xdr:sp macro="" textlink="">
      <xdr:nvSpPr>
        <xdr:cNvPr id="4" name="Retângulo 3">
          <a:hlinkClick xmlns:r="http://schemas.openxmlformats.org/officeDocument/2006/relationships" r:id="rId2"/>
        </xdr:cNvPr>
        <xdr:cNvSpPr/>
      </xdr:nvSpPr>
      <xdr:spPr>
        <a:xfrm>
          <a:off x="6810374" y="3038475"/>
          <a:ext cx="1206063" cy="295274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pt-BR" sz="1100"/>
            <a:t>Voltar ao início</a:t>
          </a:r>
        </a:p>
      </xdr:txBody>
    </xdr:sp>
    <xdr:clientData fPrintsWithSheet="0"/>
  </xdr:twoCellAnchor>
  <xdr:twoCellAnchor editAs="oneCell">
    <xdr:from>
      <xdr:col>18</xdr:col>
      <xdr:colOff>171450</xdr:colOff>
      <xdr:row>0</xdr:row>
      <xdr:rowOff>0</xdr:rowOff>
    </xdr:from>
    <xdr:to>
      <xdr:col>20</xdr:col>
      <xdr:colOff>142874</xdr:colOff>
      <xdr:row>2</xdr:row>
      <xdr:rowOff>28575</xdr:rowOff>
    </xdr:to>
    <xdr:pic>
      <xdr:nvPicPr>
        <xdr:cNvPr id="5" name="Imagem 4" descr="planilha+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829425" y="0"/>
          <a:ext cx="1333499" cy="504825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</xdr:spPr>
    </xdr:pic>
    <xdr:clientData/>
  </xdr:twoCellAnchor>
  <xdr:twoCellAnchor editAs="oneCell">
    <xdr:from>
      <xdr:col>1</xdr:col>
      <xdr:colOff>161925</xdr:colOff>
      <xdr:row>0</xdr:row>
      <xdr:rowOff>47625</xdr:rowOff>
    </xdr:from>
    <xdr:to>
      <xdr:col>11</xdr:col>
      <xdr:colOff>200025</xdr:colOff>
      <xdr:row>3</xdr:row>
      <xdr:rowOff>32302</xdr:rowOff>
    </xdr:to>
    <xdr:pic>
      <xdr:nvPicPr>
        <xdr:cNvPr id="6" name="Imagem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47625"/>
          <a:ext cx="3467100" cy="79430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</xdr:row>
      <xdr:rowOff>1</xdr:rowOff>
    </xdr:from>
    <xdr:to>
      <xdr:col>16</xdr:col>
      <xdr:colOff>361950</xdr:colOff>
      <xdr:row>46</xdr:row>
      <xdr:rowOff>66676</xdr:rowOff>
    </xdr:to>
    <xdr:sp macro="" textlink="">
      <xdr:nvSpPr>
        <xdr:cNvPr id="2" name="Retângulo de cantos arredondados 1">
          <a:hlinkClick xmlns:r="http://schemas.openxmlformats.org/officeDocument/2006/relationships" r:id="rId5"/>
        </xdr:cNvPr>
        <xdr:cNvSpPr/>
      </xdr:nvSpPr>
      <xdr:spPr bwMode="auto">
        <a:xfrm>
          <a:off x="0" y="5391151"/>
          <a:ext cx="5686425" cy="304800"/>
        </a:xfrm>
        <a:prstGeom prst="roundRect">
          <a:avLst/>
        </a:prstGeom>
        <a:ln>
          <a:headEnd/>
          <a:tailEnd/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wrap="square" lIns="91440" tIns="45720" rIns="91440" bIns="45720" rtlCol="0" anchor="t" upright="1"/>
        <a:lstStyle/>
        <a:p>
          <a:pPr algn="ctr" rtl="1"/>
          <a:r>
            <a:rPr lang="pt-BR" sz="1200" b="1" i="0" strike="noStrike">
              <a:solidFill>
                <a:srgbClr val="FFFFFF"/>
              </a:solidFill>
              <a:latin typeface="+mn-lt"/>
              <a:cs typeface="Calibri"/>
            </a:rPr>
            <a:t>Clique aqui e veja conheça a tela de cálculo na versão pró, diversas possibilidades!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19049</xdr:colOff>
      <xdr:row>0</xdr:row>
      <xdr:rowOff>95249</xdr:rowOff>
    </xdr:from>
    <xdr:to>
      <xdr:col>13</xdr:col>
      <xdr:colOff>227001</xdr:colOff>
      <xdr:row>2</xdr:row>
      <xdr:rowOff>114299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4" y="95249"/>
          <a:ext cx="2617777" cy="600075"/>
        </a:xfrm>
        <a:prstGeom prst="rect">
          <a:avLst/>
        </a:prstGeom>
      </xdr:spPr>
    </xdr:pic>
    <xdr:clientData/>
  </xdr:twoCellAnchor>
  <xdr:twoCellAnchor>
    <xdr:from>
      <xdr:col>23</xdr:col>
      <xdr:colOff>200026</xdr:colOff>
      <xdr:row>0</xdr:row>
      <xdr:rowOff>28576</xdr:rowOff>
    </xdr:from>
    <xdr:to>
      <xdr:col>28</xdr:col>
      <xdr:colOff>200026</xdr:colOff>
      <xdr:row>0</xdr:row>
      <xdr:rowOff>295276</xdr:rowOff>
    </xdr:to>
    <xdr:sp macro="" textlink="">
      <xdr:nvSpPr>
        <xdr:cNvPr id="4" name="Retângulo 2">
          <a:hlinkClick xmlns:r="http://schemas.openxmlformats.org/officeDocument/2006/relationships" r:id="rId2"/>
        </xdr:cNvPr>
        <xdr:cNvSpPr>
          <a:spLocks noChangeArrowheads="1"/>
        </xdr:cNvSpPr>
      </xdr:nvSpPr>
      <xdr:spPr bwMode="auto">
        <a:xfrm>
          <a:off x="5067301" y="28576"/>
          <a:ext cx="1143000" cy="266700"/>
        </a:xfrm>
        <a:prstGeom prst="rect">
          <a:avLst/>
        </a:prstGeom>
        <a:solidFill>
          <a:srgbClr val="4F81BD"/>
        </a:solidFill>
        <a:ln w="25400" algn="ctr">
          <a:solidFill>
            <a:srgbClr val="385D8A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1">
            <a:defRPr sz="1000"/>
          </a:pPr>
          <a:r>
            <a:rPr lang="pt-BR" sz="1100" b="0" i="0" strike="noStrike">
              <a:solidFill>
                <a:srgbClr val="FFFFFF"/>
              </a:solidFill>
              <a:latin typeface="Calibri"/>
              <a:cs typeface="Calibri"/>
            </a:rPr>
            <a:t>Voltar </a:t>
          </a:r>
          <a:r>
            <a:rPr lang="pt-BR" sz="1100" b="0" i="0" strike="noStrike" baseline="0">
              <a:solidFill>
                <a:srgbClr val="FFFFFF"/>
              </a:solidFill>
              <a:latin typeface="Calibri"/>
              <a:cs typeface="Calibri"/>
            </a:rPr>
            <a:t> </a:t>
          </a:r>
          <a:r>
            <a:rPr lang="pt-BR" sz="1100" b="0" i="0" strike="noStrike">
              <a:solidFill>
                <a:srgbClr val="FFFFFF"/>
              </a:solidFill>
              <a:latin typeface="Calibri"/>
              <a:cs typeface="Calibri"/>
            </a:rPr>
            <a:t>tela</a:t>
          </a:r>
        </a:p>
      </xdr:txBody>
    </xdr:sp>
    <xdr:clientData fPrintsWithSheet="0"/>
  </xdr:twoCellAnchor>
  <xdr:twoCellAnchor>
    <xdr:from>
      <xdr:col>23</xdr:col>
      <xdr:colOff>190500</xdr:colOff>
      <xdr:row>61</xdr:row>
      <xdr:rowOff>57150</xdr:rowOff>
    </xdr:from>
    <xdr:to>
      <xdr:col>28</xdr:col>
      <xdr:colOff>190500</xdr:colOff>
      <xdr:row>62</xdr:row>
      <xdr:rowOff>57150</xdr:rowOff>
    </xdr:to>
    <xdr:sp macro="" textlink="">
      <xdr:nvSpPr>
        <xdr:cNvPr id="7" name="Retângulo 2">
          <a:hlinkClick xmlns:r="http://schemas.openxmlformats.org/officeDocument/2006/relationships" r:id="rId2"/>
        </xdr:cNvPr>
        <xdr:cNvSpPr>
          <a:spLocks noChangeArrowheads="1"/>
        </xdr:cNvSpPr>
      </xdr:nvSpPr>
      <xdr:spPr bwMode="auto">
        <a:xfrm>
          <a:off x="5057775" y="9553575"/>
          <a:ext cx="1143000" cy="333375"/>
        </a:xfrm>
        <a:prstGeom prst="rect">
          <a:avLst/>
        </a:prstGeom>
        <a:solidFill>
          <a:srgbClr val="4F81BD"/>
        </a:solidFill>
        <a:ln w="25400" algn="ctr">
          <a:solidFill>
            <a:srgbClr val="385D8A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1">
            <a:defRPr sz="1000"/>
          </a:pPr>
          <a:r>
            <a:rPr lang="pt-BR" sz="1100" b="0" i="0" strike="noStrike">
              <a:solidFill>
                <a:srgbClr val="FFFFFF"/>
              </a:solidFill>
              <a:latin typeface="Calibri"/>
              <a:cs typeface="Calibri"/>
            </a:rPr>
            <a:t>Voltar </a:t>
          </a:r>
          <a:r>
            <a:rPr lang="pt-BR" sz="1100" b="0" i="0" strike="noStrike" baseline="0">
              <a:solidFill>
                <a:srgbClr val="FFFFFF"/>
              </a:solidFill>
              <a:latin typeface="Calibri"/>
              <a:cs typeface="Calibri"/>
            </a:rPr>
            <a:t> </a:t>
          </a:r>
          <a:r>
            <a:rPr lang="pt-BR" sz="1100" b="0" i="0" strike="noStrike">
              <a:solidFill>
                <a:srgbClr val="FFFFFF"/>
              </a:solidFill>
              <a:latin typeface="Calibri"/>
              <a:cs typeface="Calibri"/>
            </a:rPr>
            <a:t>tela</a:t>
          </a:r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0</xdr:row>
      <xdr:rowOff>57150</xdr:rowOff>
    </xdr:from>
    <xdr:to>
      <xdr:col>3</xdr:col>
      <xdr:colOff>22098</xdr:colOff>
      <xdr:row>0</xdr:row>
      <xdr:rowOff>226456</xdr:rowOff>
    </xdr:to>
    <xdr:pic>
      <xdr:nvPicPr>
        <xdr:cNvPr id="12290" name="Imagem 5" descr="Logo Sincomerciarios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514600" y="57150"/>
          <a:ext cx="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714376</xdr:colOff>
      <xdr:row>0</xdr:row>
      <xdr:rowOff>133350</xdr:rowOff>
    </xdr:from>
    <xdr:to>
      <xdr:col>8</xdr:col>
      <xdr:colOff>466725</xdr:colOff>
      <xdr:row>1</xdr:row>
      <xdr:rowOff>133350</xdr:rowOff>
    </xdr:to>
    <xdr:sp macro="" textlink="">
      <xdr:nvSpPr>
        <xdr:cNvPr id="3" name="Retângulo 2">
          <a:hlinkClick xmlns:r="http://schemas.openxmlformats.org/officeDocument/2006/relationships" r:id="rId2"/>
        </xdr:cNvPr>
        <xdr:cNvSpPr/>
      </xdr:nvSpPr>
      <xdr:spPr>
        <a:xfrm>
          <a:off x="6362701" y="133350"/>
          <a:ext cx="1104899" cy="3333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pt-BR" sz="1100"/>
            <a:t>Voltar a tela</a:t>
          </a:r>
        </a:p>
      </xdr:txBody>
    </xdr:sp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47625</xdr:rowOff>
    </xdr:from>
    <xdr:to>
      <xdr:col>1</xdr:col>
      <xdr:colOff>123825</xdr:colOff>
      <xdr:row>2</xdr:row>
      <xdr:rowOff>314325</xdr:rowOff>
    </xdr:to>
    <xdr:pic>
      <xdr:nvPicPr>
        <xdr:cNvPr id="9757" name="Imagem 5" descr="Logo Sincomerciarios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57200" y="47625"/>
          <a:ext cx="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485775</xdr:colOff>
      <xdr:row>21</xdr:row>
      <xdr:rowOff>43228</xdr:rowOff>
    </xdr:from>
    <xdr:to>
      <xdr:col>18</xdr:col>
      <xdr:colOff>1504950</xdr:colOff>
      <xdr:row>22</xdr:row>
      <xdr:rowOff>243253</xdr:rowOff>
    </xdr:to>
    <xdr:sp macro="" textlink="">
      <xdr:nvSpPr>
        <xdr:cNvPr id="3" name="Retângulo 2">
          <a:hlinkClick xmlns:r="http://schemas.openxmlformats.org/officeDocument/2006/relationships" r:id="rId2"/>
        </xdr:cNvPr>
        <xdr:cNvSpPr/>
      </xdr:nvSpPr>
      <xdr:spPr>
        <a:xfrm>
          <a:off x="5895975" y="3938953"/>
          <a:ext cx="1657350" cy="333375"/>
        </a:xfrm>
        <a:prstGeom prst="rect">
          <a:avLst/>
        </a:prstGeom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pt-BR" sz="1100"/>
            <a:t>C A L C U L A R</a:t>
          </a:r>
        </a:p>
      </xdr:txBody>
    </xdr:sp>
    <xdr:clientData fPrintsWithSheet="0"/>
  </xdr:twoCellAnchor>
  <xdr:twoCellAnchor>
    <xdr:from>
      <xdr:col>6</xdr:col>
      <xdr:colOff>19050</xdr:colOff>
      <xdr:row>21</xdr:row>
      <xdr:rowOff>36633</xdr:rowOff>
    </xdr:from>
    <xdr:to>
      <xdr:col>10</xdr:col>
      <xdr:colOff>285750</xdr:colOff>
      <xdr:row>22</xdr:row>
      <xdr:rowOff>238124</xdr:rowOff>
    </xdr:to>
    <xdr:sp macro="" textlink="">
      <xdr:nvSpPr>
        <xdr:cNvPr id="4" name="Retângulo 3">
          <a:hlinkClick xmlns:r="http://schemas.openxmlformats.org/officeDocument/2006/relationships" r:id="rId3"/>
        </xdr:cNvPr>
        <xdr:cNvSpPr/>
      </xdr:nvSpPr>
      <xdr:spPr>
        <a:xfrm>
          <a:off x="2019300" y="3932358"/>
          <a:ext cx="1600200" cy="334841"/>
        </a:xfrm>
        <a:prstGeom prst="rect">
          <a:avLst/>
        </a:prstGeom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pt-BR" sz="1100"/>
            <a:t>Voltar ao início</a:t>
          </a:r>
        </a:p>
      </xdr:txBody>
    </xdr:sp>
    <xdr:clientData fPrintsWithSheet="0"/>
  </xdr:twoCellAnchor>
  <xdr:twoCellAnchor editAs="oneCell">
    <xdr:from>
      <xdr:col>1</xdr:col>
      <xdr:colOff>123825</xdr:colOff>
      <xdr:row>0</xdr:row>
      <xdr:rowOff>66675</xdr:rowOff>
    </xdr:from>
    <xdr:to>
      <xdr:col>1</xdr:col>
      <xdr:colOff>123825</xdr:colOff>
      <xdr:row>3</xdr:row>
      <xdr:rowOff>0</xdr:rowOff>
    </xdr:to>
    <xdr:pic>
      <xdr:nvPicPr>
        <xdr:cNvPr id="9760" name="Imagem 5" descr="Logo Sincomerciarios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57200" y="66675"/>
          <a:ext cx="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314325</xdr:colOff>
      <xdr:row>21</xdr:row>
      <xdr:rowOff>28575</xdr:rowOff>
    </xdr:from>
    <xdr:to>
      <xdr:col>17</xdr:col>
      <xdr:colOff>228600</xdr:colOff>
      <xdr:row>22</xdr:row>
      <xdr:rowOff>228600</xdr:rowOff>
    </xdr:to>
    <xdr:sp macro="" textlink="">
      <xdr:nvSpPr>
        <xdr:cNvPr id="7" name="Retângulo 6">
          <a:hlinkClick xmlns:r="http://schemas.openxmlformats.org/officeDocument/2006/relationships" r:id="rId4"/>
        </xdr:cNvPr>
        <xdr:cNvSpPr/>
      </xdr:nvSpPr>
      <xdr:spPr>
        <a:xfrm>
          <a:off x="3981450" y="3924300"/>
          <a:ext cx="1657350" cy="333375"/>
        </a:xfrm>
        <a:prstGeom prst="rect">
          <a:avLst/>
        </a:prstGeom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pt-BR" sz="1100"/>
            <a:t>Voltar</a:t>
          </a:r>
        </a:p>
      </xdr:txBody>
    </xdr:sp>
    <xdr:clientData fPrintsWithSheet="0"/>
  </xdr:twoCellAnchor>
  <xdr:twoCellAnchor editAs="oneCell">
    <xdr:from>
      <xdr:col>18</xdr:col>
      <xdr:colOff>704850</xdr:colOff>
      <xdr:row>0</xdr:row>
      <xdr:rowOff>0</xdr:rowOff>
    </xdr:from>
    <xdr:to>
      <xdr:col>19</xdr:col>
      <xdr:colOff>514349</xdr:colOff>
      <xdr:row>2</xdr:row>
      <xdr:rowOff>28575</xdr:rowOff>
    </xdr:to>
    <xdr:pic>
      <xdr:nvPicPr>
        <xdr:cNvPr id="8" name="Imagem 7" descr="planilha+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53225" y="0"/>
          <a:ext cx="1333499" cy="504825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</xdr:spPr>
    </xdr:pic>
    <xdr:clientData/>
  </xdr:twoCellAnchor>
  <xdr:twoCellAnchor editAs="oneCell">
    <xdr:from>
      <xdr:col>1</xdr:col>
      <xdr:colOff>123825</xdr:colOff>
      <xdr:row>0</xdr:row>
      <xdr:rowOff>66675</xdr:rowOff>
    </xdr:from>
    <xdr:to>
      <xdr:col>11</xdr:col>
      <xdr:colOff>161925</xdr:colOff>
      <xdr:row>3</xdr:row>
      <xdr:rowOff>29531</xdr:rowOff>
    </xdr:to>
    <xdr:pic>
      <xdr:nvPicPr>
        <xdr:cNvPr id="9" name="Imagem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66675"/>
          <a:ext cx="3371850" cy="77248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0</xdr:rowOff>
    </xdr:from>
    <xdr:to>
      <xdr:col>1</xdr:col>
      <xdr:colOff>28575</xdr:colOff>
      <xdr:row>0</xdr:row>
      <xdr:rowOff>57150</xdr:rowOff>
    </xdr:to>
    <xdr:pic>
      <xdr:nvPicPr>
        <xdr:cNvPr id="8736" name="Imagem 5" descr="Logo Sincomerciarios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7650" y="0"/>
          <a:ext cx="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57150</xdr:colOff>
      <xdr:row>42</xdr:row>
      <xdr:rowOff>9524</xdr:rowOff>
    </xdr:from>
    <xdr:to>
      <xdr:col>25</xdr:col>
      <xdr:colOff>215646</xdr:colOff>
      <xdr:row>45</xdr:row>
      <xdr:rowOff>19050</xdr:rowOff>
    </xdr:to>
    <xdr:sp macro="" textlink="">
      <xdr:nvSpPr>
        <xdr:cNvPr id="3" name="Retângulo 2">
          <a:hlinkClick xmlns:r="http://schemas.openxmlformats.org/officeDocument/2006/relationships" r:id="rId2"/>
        </xdr:cNvPr>
        <xdr:cNvSpPr>
          <a:spLocks noChangeArrowheads="1"/>
        </xdr:cNvSpPr>
      </xdr:nvSpPr>
      <xdr:spPr bwMode="auto">
        <a:xfrm>
          <a:off x="4076700" y="5324474"/>
          <a:ext cx="1758696" cy="390526"/>
        </a:xfrm>
        <a:prstGeom prst="rect">
          <a:avLst/>
        </a:prstGeom>
        <a:solidFill>
          <a:srgbClr val="4F81BD"/>
        </a:solidFill>
        <a:ln w="25400" algn="ctr">
          <a:solidFill>
            <a:srgbClr val="385D8A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1">
            <a:defRPr sz="1000"/>
          </a:pPr>
          <a:r>
            <a:rPr lang="pt-BR" sz="1100" b="0" i="0" strike="noStrike">
              <a:solidFill>
                <a:srgbClr val="FFFFFF"/>
              </a:solidFill>
              <a:latin typeface="Calibri"/>
              <a:cs typeface="Calibri"/>
            </a:rPr>
            <a:t>N O V O     C A L C U L O</a:t>
          </a:r>
        </a:p>
      </xdr:txBody>
    </xdr:sp>
    <xdr:clientData fPrintsWithSheet="0"/>
  </xdr:twoCellAnchor>
  <xdr:twoCellAnchor editAs="oneCell">
    <xdr:from>
      <xdr:col>21</xdr:col>
      <xdr:colOff>200026</xdr:colOff>
      <xdr:row>0</xdr:row>
      <xdr:rowOff>76200</xdr:rowOff>
    </xdr:from>
    <xdr:to>
      <xdr:col>27</xdr:col>
      <xdr:colOff>1906</xdr:colOff>
      <xdr:row>1</xdr:row>
      <xdr:rowOff>19050</xdr:rowOff>
    </xdr:to>
    <xdr:sp macro="" textlink="">
      <xdr:nvSpPr>
        <xdr:cNvPr id="4" name="Retângulo 2">
          <a:hlinkClick xmlns:r="http://schemas.openxmlformats.org/officeDocument/2006/relationships" r:id="rId2"/>
        </xdr:cNvPr>
        <xdr:cNvSpPr>
          <a:spLocks noChangeArrowheads="1"/>
        </xdr:cNvSpPr>
      </xdr:nvSpPr>
      <xdr:spPr bwMode="auto">
        <a:xfrm>
          <a:off x="4905376" y="76200"/>
          <a:ext cx="1173480" cy="323850"/>
        </a:xfrm>
        <a:prstGeom prst="rect">
          <a:avLst/>
        </a:prstGeom>
        <a:solidFill>
          <a:srgbClr val="4F81BD"/>
        </a:solidFill>
        <a:ln w="25400" algn="ctr">
          <a:solidFill>
            <a:srgbClr val="385D8A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1">
            <a:defRPr sz="1000"/>
          </a:pPr>
          <a:r>
            <a:rPr lang="pt-BR" sz="1100" b="0" i="0" strike="noStrike">
              <a:solidFill>
                <a:srgbClr val="FFFFFF"/>
              </a:solidFill>
              <a:latin typeface="Calibri"/>
              <a:cs typeface="Calibri"/>
            </a:rPr>
            <a:t>Voltar </a:t>
          </a:r>
          <a:r>
            <a:rPr lang="pt-BR" sz="1100" b="0" i="0" strike="noStrike" baseline="0">
              <a:solidFill>
                <a:srgbClr val="FFFFFF"/>
              </a:solidFill>
              <a:latin typeface="Calibri"/>
              <a:cs typeface="Calibri"/>
            </a:rPr>
            <a:t> </a:t>
          </a:r>
          <a:r>
            <a:rPr lang="pt-BR" sz="1100" b="0" i="0" strike="noStrike">
              <a:solidFill>
                <a:srgbClr val="FFFFFF"/>
              </a:solidFill>
              <a:latin typeface="Calibri"/>
              <a:cs typeface="Calibri"/>
            </a:rPr>
            <a:t>tela</a:t>
          </a:r>
        </a:p>
      </xdr:txBody>
    </xdr:sp>
    <xdr:clientData fPrintsWithSheet="0"/>
  </xdr:twoCellAnchor>
  <xdr:twoCellAnchor editAs="oneCell">
    <xdr:from>
      <xdr:col>1</xdr:col>
      <xdr:colOff>9525</xdr:colOff>
      <xdr:row>0</xdr:row>
      <xdr:rowOff>0</xdr:rowOff>
    </xdr:from>
    <xdr:to>
      <xdr:col>1</xdr:col>
      <xdr:colOff>9525</xdr:colOff>
      <xdr:row>0</xdr:row>
      <xdr:rowOff>57150</xdr:rowOff>
    </xdr:to>
    <xdr:pic>
      <xdr:nvPicPr>
        <xdr:cNvPr id="8739" name="Imagem 5" descr="Logo Sincomerciarios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8600" y="0"/>
          <a:ext cx="0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0</xdr:row>
      <xdr:rowOff>104775</xdr:rowOff>
    </xdr:from>
    <xdr:to>
      <xdr:col>12</xdr:col>
      <xdr:colOff>179377</xdr:colOff>
      <xdr:row>2</xdr:row>
      <xdr:rowOff>85725</xdr:rowOff>
    </xdr:to>
    <xdr:pic>
      <xdr:nvPicPr>
        <xdr:cNvPr id="7" name="Imagem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104775"/>
          <a:ext cx="2617777" cy="6000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47625</xdr:rowOff>
    </xdr:from>
    <xdr:to>
      <xdr:col>1</xdr:col>
      <xdr:colOff>123825</xdr:colOff>
      <xdr:row>2</xdr:row>
      <xdr:rowOff>314325</xdr:rowOff>
    </xdr:to>
    <xdr:pic>
      <xdr:nvPicPr>
        <xdr:cNvPr id="7642" name="Imagem 5" descr="Logo Sincomerciarios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57200" y="47625"/>
          <a:ext cx="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533400</xdr:colOff>
      <xdr:row>21</xdr:row>
      <xdr:rowOff>38100</xdr:rowOff>
    </xdr:from>
    <xdr:to>
      <xdr:col>19</xdr:col>
      <xdr:colOff>19050</xdr:colOff>
      <xdr:row>22</xdr:row>
      <xdr:rowOff>238125</xdr:rowOff>
    </xdr:to>
    <xdr:sp macro="" textlink="">
      <xdr:nvSpPr>
        <xdr:cNvPr id="3" name="Retângulo 2">
          <a:hlinkClick xmlns:r="http://schemas.openxmlformats.org/officeDocument/2006/relationships" r:id="rId2"/>
        </xdr:cNvPr>
        <xdr:cNvSpPr/>
      </xdr:nvSpPr>
      <xdr:spPr>
        <a:xfrm>
          <a:off x="5943600" y="4152900"/>
          <a:ext cx="1657350" cy="333375"/>
        </a:xfrm>
        <a:prstGeom prst="rect">
          <a:avLst/>
        </a:prstGeom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pt-BR" sz="1100" b="1"/>
            <a:t>C A L C U L A R</a:t>
          </a:r>
        </a:p>
      </xdr:txBody>
    </xdr:sp>
    <xdr:clientData fPrintsWithSheet="0"/>
  </xdr:twoCellAnchor>
  <xdr:twoCellAnchor>
    <xdr:from>
      <xdr:col>5</xdr:col>
      <xdr:colOff>257175</xdr:colOff>
      <xdr:row>21</xdr:row>
      <xdr:rowOff>38100</xdr:rowOff>
    </xdr:from>
    <xdr:to>
      <xdr:col>10</xdr:col>
      <xdr:colOff>314325</xdr:colOff>
      <xdr:row>22</xdr:row>
      <xdr:rowOff>238125</xdr:rowOff>
    </xdr:to>
    <xdr:sp macro="" textlink="">
      <xdr:nvSpPr>
        <xdr:cNvPr id="4" name="Retângulo 3">
          <a:hlinkClick xmlns:r="http://schemas.openxmlformats.org/officeDocument/2006/relationships" r:id="rId3"/>
        </xdr:cNvPr>
        <xdr:cNvSpPr/>
      </xdr:nvSpPr>
      <xdr:spPr>
        <a:xfrm>
          <a:off x="1924050" y="4152900"/>
          <a:ext cx="1724025" cy="333375"/>
        </a:xfrm>
        <a:prstGeom prst="rect">
          <a:avLst/>
        </a:prstGeom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pt-BR" sz="1100"/>
            <a:t>Voltar ao início</a:t>
          </a:r>
        </a:p>
      </xdr:txBody>
    </xdr:sp>
    <xdr:clientData fPrintsWithSheet="0"/>
  </xdr:twoCellAnchor>
  <xdr:twoCellAnchor>
    <xdr:from>
      <xdr:col>11</xdr:col>
      <xdr:colOff>285750</xdr:colOff>
      <xdr:row>21</xdr:row>
      <xdr:rowOff>38100</xdr:rowOff>
    </xdr:from>
    <xdr:to>
      <xdr:col>17</xdr:col>
      <xdr:colOff>200025</xdr:colOff>
      <xdr:row>22</xdr:row>
      <xdr:rowOff>238125</xdr:rowOff>
    </xdr:to>
    <xdr:sp macro="" textlink="">
      <xdr:nvSpPr>
        <xdr:cNvPr id="6" name="Retângulo 5">
          <a:hlinkClick xmlns:r="http://schemas.openxmlformats.org/officeDocument/2006/relationships" r:id="rId4"/>
        </xdr:cNvPr>
        <xdr:cNvSpPr/>
      </xdr:nvSpPr>
      <xdr:spPr>
        <a:xfrm>
          <a:off x="3952875" y="4152900"/>
          <a:ext cx="1657350" cy="333375"/>
        </a:xfrm>
        <a:prstGeom prst="rect">
          <a:avLst/>
        </a:prstGeom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pt-BR" sz="1100"/>
            <a:t>Voltar</a:t>
          </a:r>
        </a:p>
      </xdr:txBody>
    </xdr:sp>
    <xdr:clientData fPrintsWithSheet="0"/>
  </xdr:twoCellAnchor>
  <xdr:twoCellAnchor editAs="oneCell">
    <xdr:from>
      <xdr:col>18</xdr:col>
      <xdr:colOff>742951</xdr:colOff>
      <xdr:row>0</xdr:row>
      <xdr:rowOff>0</xdr:rowOff>
    </xdr:from>
    <xdr:to>
      <xdr:col>19</xdr:col>
      <xdr:colOff>552449</xdr:colOff>
      <xdr:row>2</xdr:row>
      <xdr:rowOff>28575</xdr:rowOff>
    </xdr:to>
    <xdr:pic>
      <xdr:nvPicPr>
        <xdr:cNvPr id="7" name="Imagem 6" descr="planilha+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800851" y="0"/>
          <a:ext cx="1333498" cy="504825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</xdr:spPr>
    </xdr:pic>
    <xdr:clientData/>
  </xdr:twoCellAnchor>
  <xdr:twoCellAnchor editAs="oneCell">
    <xdr:from>
      <xdr:col>1</xdr:col>
      <xdr:colOff>66675</xdr:colOff>
      <xdr:row>0</xdr:row>
      <xdr:rowOff>38100</xdr:rowOff>
    </xdr:from>
    <xdr:to>
      <xdr:col>11</xdr:col>
      <xdr:colOff>161925</xdr:colOff>
      <xdr:row>3</xdr:row>
      <xdr:rowOff>14049</xdr:rowOff>
    </xdr:to>
    <xdr:pic>
      <xdr:nvPicPr>
        <xdr:cNvPr id="8" name="Imagem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38100"/>
          <a:ext cx="3429000" cy="7855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solidFill>
          <a:srgbClr val="4F81BD"/>
        </a:solidFill>
        <a:ln w="25400" algn="ctr">
          <a:solidFill>
            <a:srgbClr val="385D8A"/>
          </a:solidFill>
          <a:miter lim="800000"/>
          <a:headEnd/>
          <a:tailEnd/>
        </a:ln>
      </a:spPr>
      <a:bodyPr vertOverflow="clip" wrap="square" lIns="91440" tIns="45720" rIns="91440" bIns="45720" anchor="ctr" upright="1"/>
      <a:lstStyle>
        <a:defPPr algn="ctr" rtl="1">
          <a:defRPr sz="1100" b="0" i="0" strike="noStrike">
            <a:solidFill>
              <a:srgbClr val="FFFFFF"/>
            </a:solidFill>
            <a:latin typeface="Calibri"/>
            <a:cs typeface="Calibri"/>
          </a:defRPr>
        </a:defPPr>
      </a:lst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acaciojunior.com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hyperlink" Target="mailto:acaciojunior@hotmail.com" TargetMode="External"/><Relationship Id="rId1" Type="http://schemas.openxmlformats.org/officeDocument/2006/relationships/hyperlink" Target="http://www.acaciojunior.com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/>
  <dimension ref="A1:IV32"/>
  <sheetViews>
    <sheetView showGridLines="0" showRowColHeaders="0" tabSelected="1" zoomScaleNormal="100" workbookViewId="0">
      <selection activeCell="A31" sqref="A31:Z31"/>
    </sheetView>
  </sheetViews>
  <sheetFormatPr defaultColWidth="0" defaultRowHeight="15" zeroHeight="1"/>
  <cols>
    <col min="1" max="4" width="6" style="58" customWidth="1"/>
    <col min="5" max="21" width="3.140625" style="58" customWidth="1"/>
    <col min="22" max="26" width="5" style="58" customWidth="1"/>
    <col min="27" max="16384" width="3.140625" style="58" hidden="1"/>
  </cols>
  <sheetData>
    <row r="1" spans="1:256" s="186" customFormat="1">
      <c r="A1" s="504"/>
      <c r="B1" s="504"/>
      <c r="C1" s="504"/>
      <c r="D1" s="504"/>
      <c r="E1" s="504"/>
      <c r="F1" s="504"/>
      <c r="G1" s="504"/>
      <c r="H1" s="504"/>
      <c r="I1" s="504"/>
      <c r="J1" s="504"/>
      <c r="K1" s="58"/>
      <c r="L1" s="58"/>
      <c r="M1" s="58"/>
      <c r="N1" s="58"/>
      <c r="O1" s="58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 s="503"/>
      <c r="AD1" s="503"/>
      <c r="AE1" s="503"/>
      <c r="AF1" s="503"/>
      <c r="AG1" s="503"/>
      <c r="AH1" s="503"/>
      <c r="AI1" s="503"/>
      <c r="AJ1" s="503"/>
      <c r="AK1" s="503"/>
      <c r="AL1" s="503"/>
      <c r="AM1" s="503"/>
      <c r="AN1" s="503"/>
      <c r="AO1" s="503"/>
      <c r="AP1" s="503"/>
      <c r="AQ1" s="503"/>
      <c r="AR1" s="503"/>
      <c r="AS1" s="503"/>
      <c r="AT1" s="503"/>
      <c r="AU1" s="503"/>
      <c r="AV1" s="503"/>
      <c r="AW1" s="503"/>
      <c r="AX1" s="503"/>
      <c r="AY1" s="503"/>
      <c r="AZ1" s="503"/>
      <c r="BA1" s="503"/>
      <c r="BB1" s="503"/>
      <c r="BC1" s="503"/>
      <c r="BD1" s="503"/>
      <c r="BE1" s="503"/>
      <c r="BF1" s="503"/>
      <c r="BG1" s="503"/>
      <c r="BH1" s="503"/>
      <c r="BI1" s="503"/>
      <c r="BJ1" s="503"/>
      <c r="BK1" s="503"/>
      <c r="BL1" s="503"/>
      <c r="BM1" s="503"/>
      <c r="BN1" s="503"/>
      <c r="BO1" s="503"/>
      <c r="BP1" s="503"/>
      <c r="BQ1" s="503"/>
      <c r="BR1" s="503"/>
      <c r="BS1" s="503"/>
      <c r="BT1" s="503"/>
      <c r="BU1" s="503"/>
      <c r="BV1" s="503"/>
      <c r="BW1" s="503"/>
      <c r="BX1" s="503"/>
      <c r="BY1" s="503"/>
      <c r="BZ1" s="503"/>
      <c r="CA1" s="503"/>
      <c r="CB1" s="503"/>
      <c r="CC1" s="503"/>
      <c r="CD1" s="503"/>
      <c r="CE1" s="503"/>
      <c r="CF1" s="503"/>
      <c r="CG1" s="503"/>
      <c r="CH1" s="503"/>
      <c r="CI1" s="503"/>
      <c r="CJ1" s="503"/>
      <c r="CK1" s="503"/>
      <c r="CL1" s="503"/>
      <c r="CM1" s="503"/>
      <c r="CN1" s="503"/>
      <c r="CO1" s="503"/>
      <c r="CP1" s="503"/>
      <c r="CQ1" s="503"/>
      <c r="CR1" s="503"/>
      <c r="CS1" s="503"/>
      <c r="CT1" s="503"/>
      <c r="CU1" s="503"/>
      <c r="CV1" s="503"/>
      <c r="CW1" s="503"/>
      <c r="CX1" s="503"/>
      <c r="CY1" s="503"/>
      <c r="CZ1" s="503"/>
      <c r="DA1" s="503"/>
      <c r="DB1" s="503"/>
      <c r="DC1" s="503"/>
      <c r="DD1" s="503"/>
      <c r="DE1" s="503"/>
      <c r="DF1" s="503"/>
      <c r="DG1" s="503"/>
      <c r="DH1" s="503"/>
      <c r="DI1" s="503"/>
      <c r="DJ1" s="503"/>
      <c r="DK1" s="503"/>
      <c r="DL1" s="503"/>
      <c r="DM1" s="503"/>
      <c r="DN1" s="503"/>
      <c r="DO1" s="503"/>
      <c r="DP1" s="503"/>
      <c r="DQ1" s="503"/>
      <c r="DR1" s="503"/>
      <c r="DS1" s="503"/>
      <c r="DT1" s="503"/>
      <c r="DU1" s="503"/>
      <c r="DV1" s="503"/>
      <c r="DW1" s="503"/>
      <c r="DX1" s="503"/>
      <c r="DY1" s="503"/>
      <c r="DZ1" s="503"/>
      <c r="EA1" s="503"/>
      <c r="EB1" s="503"/>
      <c r="EC1" s="503"/>
      <c r="ED1" s="503"/>
      <c r="EE1" s="503"/>
      <c r="EF1" s="503"/>
      <c r="EG1" s="503"/>
      <c r="EH1" s="503"/>
      <c r="EI1" s="503"/>
      <c r="EJ1" s="503"/>
      <c r="EK1" s="503"/>
      <c r="EL1" s="503"/>
      <c r="EM1" s="503"/>
      <c r="EN1" s="503"/>
      <c r="EO1" s="503"/>
      <c r="EP1" s="503"/>
      <c r="EQ1" s="503"/>
      <c r="ER1" s="503"/>
      <c r="ES1" s="503"/>
      <c r="ET1" s="503"/>
      <c r="EU1" s="503"/>
      <c r="EV1" s="503"/>
      <c r="EW1" s="503"/>
      <c r="EX1" s="503"/>
      <c r="EY1" s="503"/>
      <c r="EZ1" s="503"/>
      <c r="FA1" s="503"/>
      <c r="FB1" s="503"/>
      <c r="FC1" s="503"/>
      <c r="FD1" s="503"/>
      <c r="FE1" s="503"/>
      <c r="FF1" s="503"/>
      <c r="FG1" s="503"/>
      <c r="FH1" s="503"/>
      <c r="FI1" s="503"/>
      <c r="FJ1" s="503"/>
      <c r="FK1" s="503"/>
      <c r="FL1" s="503"/>
      <c r="FM1" s="503"/>
      <c r="FN1" s="503"/>
      <c r="FO1" s="503"/>
      <c r="FP1" s="503"/>
      <c r="FQ1" s="503"/>
      <c r="FR1" s="503"/>
      <c r="FS1" s="503"/>
      <c r="FT1" s="503"/>
      <c r="FU1" s="503"/>
      <c r="FV1" s="503"/>
      <c r="FW1" s="503"/>
      <c r="FX1" s="503"/>
      <c r="FY1" s="503"/>
      <c r="FZ1" s="503"/>
      <c r="GA1" s="503"/>
      <c r="GB1" s="503"/>
      <c r="GC1" s="503"/>
      <c r="GD1" s="503"/>
      <c r="GE1" s="503"/>
      <c r="GF1" s="503"/>
      <c r="GG1" s="503"/>
      <c r="GH1" s="503"/>
      <c r="GI1" s="503"/>
      <c r="GJ1" s="503"/>
      <c r="GK1" s="503"/>
      <c r="GL1" s="503"/>
      <c r="GM1" s="503"/>
      <c r="GN1" s="503"/>
      <c r="GO1" s="503"/>
      <c r="GP1" s="503"/>
      <c r="GQ1" s="503"/>
      <c r="GR1" s="503"/>
      <c r="GS1" s="503"/>
      <c r="GT1" s="503"/>
      <c r="GU1" s="503"/>
      <c r="GV1" s="503"/>
      <c r="GW1" s="503"/>
      <c r="GX1" s="503"/>
      <c r="GY1" s="503"/>
      <c r="GZ1" s="503"/>
      <c r="HA1" s="503"/>
      <c r="HB1" s="503"/>
      <c r="HC1" s="503"/>
      <c r="HD1" s="503"/>
      <c r="HE1" s="503"/>
      <c r="HF1" s="503"/>
      <c r="HG1" s="503"/>
      <c r="HH1" s="503"/>
      <c r="HI1" s="503"/>
      <c r="HJ1" s="503"/>
      <c r="HK1" s="503"/>
      <c r="HL1" s="503"/>
      <c r="HM1" s="503"/>
      <c r="HN1" s="503"/>
      <c r="HO1" s="503"/>
      <c r="HP1" s="503"/>
      <c r="HQ1" s="503"/>
      <c r="HR1" s="503"/>
      <c r="HS1" s="503"/>
      <c r="HT1" s="503"/>
      <c r="HU1" s="503"/>
      <c r="HV1" s="503"/>
      <c r="HW1" s="503"/>
      <c r="HX1" s="503"/>
      <c r="HY1" s="503"/>
      <c r="HZ1" s="503"/>
      <c r="IA1" s="503"/>
      <c r="IB1" s="503"/>
      <c r="IC1" s="503"/>
      <c r="ID1" s="503"/>
      <c r="IE1" s="503"/>
      <c r="IF1" s="503"/>
      <c r="IG1" s="503"/>
      <c r="IH1" s="503"/>
      <c r="II1" s="503"/>
      <c r="IJ1" s="503"/>
      <c r="IK1" s="503"/>
      <c r="IL1" s="503"/>
      <c r="IM1" s="503"/>
      <c r="IN1" s="503"/>
      <c r="IO1" s="503"/>
      <c r="IP1" s="503"/>
      <c r="IQ1" s="503"/>
      <c r="IR1" s="503"/>
      <c r="IS1" s="503"/>
      <c r="IT1" s="503"/>
      <c r="IU1" s="503"/>
      <c r="IV1" s="503"/>
    </row>
    <row r="2" spans="1:256" s="56" customFormat="1" ht="9" customHeight="1"/>
    <row r="3" spans="1:256" s="56" customFormat="1"/>
    <row r="4" spans="1:256" s="56" customFormat="1"/>
    <row r="5" spans="1:256" s="56" customFormat="1"/>
    <row r="6" spans="1:256" s="56" customFormat="1"/>
    <row r="7" spans="1:256" s="56" customFormat="1" ht="9.75" customHeight="1"/>
    <row r="8" spans="1:256" ht="5.25" customHeight="1"/>
    <row r="9" spans="1:256" s="505" customFormat="1">
      <c r="A9" s="505" t="s">
        <v>131</v>
      </c>
    </row>
    <row r="10" spans="1:256" ht="6.75" customHeight="1"/>
    <row r="11" spans="1:256" ht="6.75" customHeight="1"/>
    <row r="12" spans="1:256">
      <c r="D12" s="408"/>
      <c r="E12" s="408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U12" s="408"/>
      <c r="W12" s="408"/>
    </row>
    <row r="13" spans="1:256">
      <c r="D13" s="408"/>
      <c r="E13" s="408"/>
      <c r="U13" s="408"/>
      <c r="W13" s="408"/>
    </row>
    <row r="14" spans="1:256">
      <c r="D14" s="408"/>
      <c r="E14" s="408"/>
      <c r="U14" s="408"/>
      <c r="W14" s="408"/>
    </row>
    <row r="15" spans="1:256">
      <c r="D15" s="408"/>
      <c r="E15" s="408"/>
      <c r="U15" s="408"/>
      <c r="W15" s="408"/>
    </row>
    <row r="16" spans="1:256">
      <c r="D16" s="408"/>
      <c r="E16" s="408"/>
      <c r="U16" s="408"/>
      <c r="W16" s="408"/>
    </row>
    <row r="17" spans="1:26">
      <c r="D17" s="408"/>
      <c r="E17" s="408"/>
      <c r="U17" s="408"/>
      <c r="W17" s="408"/>
    </row>
    <row r="18" spans="1:26">
      <c r="D18" s="408"/>
      <c r="E18" s="408"/>
      <c r="U18" s="408"/>
      <c r="W18" s="408"/>
    </row>
    <row r="19" spans="1:26">
      <c r="D19" s="408"/>
      <c r="E19" s="408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U19" s="408"/>
      <c r="W19" s="408"/>
    </row>
    <row r="20" spans="1:26">
      <c r="D20" s="408"/>
      <c r="E20" s="408"/>
      <c r="U20" s="408"/>
      <c r="W20" s="408"/>
    </row>
    <row r="21" spans="1:26">
      <c r="D21" s="408"/>
      <c r="E21" s="408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U21" s="408"/>
      <c r="W21" s="408"/>
    </row>
    <row r="22" spans="1:26">
      <c r="D22" s="408"/>
      <c r="E22" s="408"/>
      <c r="U22" s="408"/>
      <c r="W22" s="408"/>
    </row>
    <row r="23" spans="1:26">
      <c r="D23" s="408"/>
      <c r="E23" s="408"/>
      <c r="U23" s="408"/>
      <c r="W23" s="408"/>
    </row>
    <row r="24" spans="1:26">
      <c r="D24" s="408"/>
      <c r="E24" s="408"/>
      <c r="U24" s="408"/>
    </row>
    <row r="25" spans="1:26">
      <c r="D25" s="408"/>
      <c r="E25" s="408"/>
      <c r="U25" s="408"/>
    </row>
    <row r="26" spans="1:26" ht="2.25" customHeight="1">
      <c r="D26" s="408"/>
      <c r="E26" s="408"/>
    </row>
    <row r="27" spans="1:26" ht="2.25" customHeight="1">
      <c r="D27" s="408"/>
      <c r="E27" s="408"/>
    </row>
    <row r="28" spans="1:26" ht="2.25" customHeight="1"/>
    <row r="29" spans="1:26">
      <c r="A29" s="236"/>
      <c r="B29" s="226"/>
      <c r="C29" s="226"/>
      <c r="D29" s="226"/>
      <c r="E29" s="226"/>
      <c r="F29" s="226"/>
      <c r="G29" s="226"/>
      <c r="H29" s="226"/>
      <c r="I29" s="226"/>
      <c r="J29" s="226"/>
      <c r="K29" s="226"/>
      <c r="L29" s="226"/>
      <c r="M29" s="226"/>
      <c r="N29" s="226"/>
      <c r="O29" s="226"/>
      <c r="P29" s="226"/>
      <c r="Q29" s="226"/>
      <c r="R29" s="226"/>
      <c r="S29" s="226"/>
      <c r="T29" s="226"/>
      <c r="U29" s="226"/>
      <c r="V29" s="226"/>
      <c r="W29" s="226"/>
      <c r="X29" s="226"/>
      <c r="Y29" s="226"/>
      <c r="Z29" s="226"/>
    </row>
    <row r="30" spans="1:26">
      <c r="A30" s="225"/>
      <c r="B30" s="225"/>
      <c r="C30" s="225"/>
      <c r="D30" s="225"/>
      <c r="E30" s="225"/>
      <c r="F30" s="225"/>
      <c r="G30" s="225"/>
      <c r="H30" s="225"/>
      <c r="I30" s="225"/>
      <c r="J30" s="225"/>
      <c r="K30" s="225"/>
      <c r="L30" s="225"/>
      <c r="M30" s="225"/>
      <c r="N30" s="225"/>
      <c r="O30" s="225"/>
      <c r="P30" s="225"/>
      <c r="Q30" s="225"/>
      <c r="R30" s="225"/>
      <c r="S30" s="225"/>
      <c r="T30" s="225"/>
      <c r="U30" s="225"/>
      <c r="V30" s="225"/>
      <c r="W30" s="225"/>
      <c r="X30" s="225"/>
      <c r="Y30" s="225"/>
      <c r="Z30" s="225"/>
    </row>
    <row r="31" spans="1:26" ht="18.75" customHeight="1">
      <c r="A31" s="502" t="s">
        <v>237</v>
      </c>
      <c r="B31" s="502"/>
      <c r="C31" s="502"/>
      <c r="D31" s="502"/>
      <c r="E31" s="502"/>
      <c r="F31" s="502"/>
      <c r="G31" s="502"/>
      <c r="H31" s="502"/>
      <c r="I31" s="502"/>
      <c r="J31" s="502"/>
      <c r="K31" s="502"/>
      <c r="L31" s="502"/>
      <c r="M31" s="502"/>
      <c r="N31" s="502"/>
      <c r="O31" s="502"/>
      <c r="P31" s="502"/>
      <c r="Q31" s="502"/>
      <c r="R31" s="502"/>
      <c r="S31" s="502"/>
      <c r="T31" s="502"/>
      <c r="U31" s="502"/>
      <c r="V31" s="502"/>
      <c r="W31" s="502"/>
      <c r="X31" s="502"/>
      <c r="Y31" s="502"/>
      <c r="Z31" s="502"/>
    </row>
    <row r="32" spans="1:26" ht="15.75">
      <c r="A32" s="506" t="s">
        <v>233</v>
      </c>
      <c r="B32" s="506"/>
      <c r="C32" s="506"/>
      <c r="D32" s="506"/>
      <c r="E32" s="506"/>
      <c r="F32" s="506"/>
      <c r="G32" s="506"/>
      <c r="H32" s="506"/>
      <c r="I32" s="506"/>
      <c r="J32" s="506"/>
      <c r="K32" s="506"/>
      <c r="L32" s="506"/>
      <c r="M32" s="506"/>
      <c r="N32" s="506"/>
      <c r="O32" s="506"/>
      <c r="P32" s="506"/>
      <c r="Q32" s="506"/>
      <c r="R32" s="506"/>
      <c r="S32" s="506"/>
      <c r="T32" s="506"/>
      <c r="U32" s="506"/>
      <c r="V32" s="506"/>
      <c r="W32" s="506"/>
      <c r="X32" s="506"/>
      <c r="Y32" s="506"/>
      <c r="Z32" s="506"/>
    </row>
  </sheetData>
  <sheetProtection password="C1FF" sheet="1" objects="1" scenarios="1" selectLockedCells="1" selectUnlockedCells="1"/>
  <mergeCells count="5">
    <mergeCell ref="A31:Z31"/>
    <mergeCell ref="P1:IV1"/>
    <mergeCell ref="A1:J1"/>
    <mergeCell ref="A9:XFD9"/>
    <mergeCell ref="A32:Z32"/>
  </mergeCells>
  <hyperlinks>
    <hyperlink ref="A32:Z32" r:id="rId1" display="Conheça a versão pró, acesse www.acaciojunior.com"/>
  </hyperlinks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>
    <pageSetUpPr fitToPage="1"/>
  </sheetPr>
  <dimension ref="A1:AP58"/>
  <sheetViews>
    <sheetView showGridLines="0" showRowColHeaders="0" workbookViewId="0">
      <selection activeCell="C2" sqref="C2"/>
    </sheetView>
  </sheetViews>
  <sheetFormatPr defaultColWidth="0" defaultRowHeight="12" zeroHeight="1"/>
  <cols>
    <col min="1" max="1" width="3.28515625" style="3" customWidth="1"/>
    <col min="2" max="4" width="3.42578125" style="4" customWidth="1"/>
    <col min="5" max="5" width="2.5703125" style="4" customWidth="1"/>
    <col min="6" max="6" width="2.140625" style="4" customWidth="1"/>
    <col min="7" max="7" width="2.28515625" style="4" customWidth="1"/>
    <col min="8" max="8" width="6.140625" style="4" customWidth="1"/>
    <col min="9" max="12" width="3.42578125" style="4" customWidth="1"/>
    <col min="13" max="13" width="2.7109375" style="4" customWidth="1"/>
    <col min="14" max="16" width="3.42578125" style="4" customWidth="1"/>
    <col min="17" max="17" width="4" style="4" customWidth="1"/>
    <col min="18" max="18" width="3.85546875" style="4" customWidth="1"/>
    <col min="19" max="28" width="3.42578125" style="4" customWidth="1"/>
    <col min="29" max="29" width="3.5703125" style="4" hidden="1" customWidth="1"/>
    <col min="30" max="30" width="21.85546875" style="4" hidden="1" customWidth="1"/>
    <col min="31" max="32" width="14" style="4" hidden="1" customWidth="1"/>
    <col min="33" max="33" width="15.7109375" style="4" hidden="1" customWidth="1"/>
    <col min="34" max="34" width="18.42578125" style="4" hidden="1" customWidth="1"/>
    <col min="35" max="35" width="16.42578125" style="4" hidden="1" customWidth="1"/>
    <col min="36" max="36" width="11.5703125" style="4" hidden="1" customWidth="1"/>
    <col min="37" max="37" width="12" style="4" hidden="1" customWidth="1"/>
    <col min="38" max="38" width="21.140625" style="4" hidden="1" customWidth="1"/>
    <col min="39" max="42" width="0" style="4" hidden="1" customWidth="1"/>
    <col min="43" max="16384" width="9.140625" style="4" hidden="1"/>
  </cols>
  <sheetData>
    <row r="1" spans="1:42" ht="33.75" customHeight="1">
      <c r="A1" s="91"/>
      <c r="B1" s="82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</row>
    <row r="2" spans="1:42" ht="18.75" customHeight="1">
      <c r="A2" s="91"/>
      <c r="B2" s="91"/>
      <c r="C2" s="91"/>
      <c r="D2" s="91"/>
      <c r="E2" s="91"/>
      <c r="F2" s="91"/>
      <c r="G2" s="156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7"/>
      <c r="AA2" s="157"/>
      <c r="AB2" s="91"/>
      <c r="AD2" s="389"/>
      <c r="AE2" s="390" t="s">
        <v>8</v>
      </c>
      <c r="AF2" s="391" t="s">
        <v>60</v>
      </c>
    </row>
    <row r="3" spans="1:42" ht="15.75" customHeight="1" thickBot="1">
      <c r="A3" s="91"/>
      <c r="B3" s="92"/>
      <c r="C3" s="92"/>
      <c r="D3" s="92"/>
      <c r="E3" s="92"/>
      <c r="F3" s="92"/>
      <c r="G3" s="601"/>
      <c r="H3" s="602"/>
      <c r="I3" s="602"/>
      <c r="J3" s="602"/>
      <c r="K3" s="602"/>
      <c r="L3" s="602"/>
      <c r="M3" s="602"/>
      <c r="N3" s="602"/>
      <c r="O3" s="602"/>
      <c r="P3" s="602"/>
      <c r="Q3" s="602"/>
      <c r="R3" s="602"/>
      <c r="S3" s="602"/>
      <c r="T3" s="602"/>
      <c r="U3" s="602"/>
      <c r="V3" s="602"/>
      <c r="W3" s="602"/>
      <c r="X3" s="602"/>
      <c r="Y3" s="602"/>
      <c r="Z3" s="602"/>
      <c r="AA3" s="602"/>
      <c r="AB3" s="91"/>
      <c r="AD3" s="469" t="s">
        <v>214</v>
      </c>
      <c r="AE3" s="394">
        <f>(M10-E10)+1</f>
        <v>1</v>
      </c>
      <c r="AF3" s="470" t="b">
        <f>IF(AE3&gt;=15,IF(AE3&lt;=44,1,IF(AE3&lt;=74,2,IF(AE3&lt;=104,3,IF(AE3&lt;=119,4)))))</f>
        <v>0</v>
      </c>
    </row>
    <row r="4" spans="1:42">
      <c r="A4" s="91"/>
      <c r="B4" s="91" t="str">
        <f>config!J103</f>
        <v>Rua dos Pinheiros, 20 - Pinheiros, São Paulo/SP</v>
      </c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3" t="str">
        <f>config!H104</f>
        <v>(11) 3060 6600</v>
      </c>
      <c r="AB4" s="91"/>
    </row>
    <row r="5" spans="1:42" ht="10.5" customHeight="1">
      <c r="A5" s="91"/>
      <c r="B5" s="603"/>
      <c r="C5" s="603"/>
      <c r="D5" s="603"/>
      <c r="E5" s="603"/>
      <c r="F5" s="603"/>
      <c r="G5" s="603"/>
      <c r="H5" s="603"/>
      <c r="I5" s="603"/>
      <c r="J5" s="603"/>
      <c r="K5" s="603"/>
      <c r="L5" s="603"/>
      <c r="M5" s="603"/>
      <c r="N5" s="603"/>
      <c r="O5" s="603"/>
      <c r="P5" s="603"/>
      <c r="Q5" s="603"/>
      <c r="R5" s="603"/>
      <c r="S5" s="603"/>
      <c r="T5" s="603"/>
      <c r="U5" s="603"/>
      <c r="V5" s="603"/>
      <c r="W5" s="603"/>
      <c r="X5" s="603"/>
      <c r="Y5" s="603"/>
      <c r="Z5" s="603"/>
      <c r="AA5" s="603"/>
      <c r="AB5" s="91"/>
      <c r="AD5" s="34" t="s">
        <v>85</v>
      </c>
      <c r="AE5" s="4">
        <f>(X10-M10)/2</f>
        <v>-0.5</v>
      </c>
      <c r="AH5" s="34"/>
    </row>
    <row r="6" spans="1:42" ht="23.25" customHeight="1">
      <c r="A6" s="91"/>
      <c r="B6" s="604" t="s">
        <v>90</v>
      </c>
      <c r="C6" s="604"/>
      <c r="D6" s="604"/>
      <c r="E6" s="604"/>
      <c r="F6" s="604"/>
      <c r="G6" s="604"/>
      <c r="H6" s="604"/>
      <c r="I6" s="604"/>
      <c r="J6" s="604"/>
      <c r="K6" s="604"/>
      <c r="L6" s="604"/>
      <c r="M6" s="604"/>
      <c r="N6" s="604"/>
      <c r="O6" s="604"/>
      <c r="P6" s="604"/>
      <c r="Q6" s="604"/>
      <c r="R6" s="604"/>
      <c r="S6" s="604"/>
      <c r="T6" s="604"/>
      <c r="U6" s="604"/>
      <c r="V6" s="604"/>
      <c r="W6" s="604"/>
      <c r="X6" s="604"/>
      <c r="Y6" s="604"/>
      <c r="Z6" s="604"/>
      <c r="AA6" s="604"/>
      <c r="AB6" s="91"/>
      <c r="AD6" s="4" t="s">
        <v>49</v>
      </c>
      <c r="AE6" s="4">
        <f>IF(MONTH(M10)=MONTH(E10),IF(YEAR(M10)=YEAR(E10),DAY(M10)-DAY(E10),DAY(M10)),DAY(M10))</f>
        <v>0</v>
      </c>
      <c r="AF6" s="4" t="s">
        <v>130</v>
      </c>
      <c r="AG6" s="4">
        <f>IF(MONTH(M10)=MONTH(E10),IF(YEAR(M10)=YEAR(E10),DAY(M10)-DAY(E10)+1,DAY(M10)),DAY(M10))</f>
        <v>1</v>
      </c>
    </row>
    <row r="7" spans="1:42">
      <c r="A7" s="91"/>
      <c r="B7" s="91"/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D7" s="4" t="s">
        <v>33</v>
      </c>
      <c r="AE7" s="6"/>
      <c r="AF7" s="7">
        <f>IF(O8="Dispensa sem justa causa",IF(X10="sim",M10,IF(X10="não",(M10+30))),M10)</f>
        <v>0</v>
      </c>
      <c r="AG7" s="4" t="s">
        <v>39</v>
      </c>
      <c r="AI7" s="4" t="s">
        <v>50</v>
      </c>
      <c r="AJ7" s="4" t="s">
        <v>51</v>
      </c>
    </row>
    <row r="8" spans="1:42" ht="14.25" customHeight="1">
      <c r="A8" s="91"/>
      <c r="B8" s="94" t="s">
        <v>88</v>
      </c>
      <c r="C8" s="94"/>
      <c r="D8" s="94"/>
      <c r="E8" s="94"/>
      <c r="F8" s="94"/>
      <c r="G8" s="94"/>
      <c r="H8" s="95"/>
      <c r="I8" s="95"/>
      <c r="J8" s="95"/>
      <c r="K8" s="95"/>
      <c r="L8" s="95"/>
      <c r="M8" s="95"/>
      <c r="N8" s="95"/>
      <c r="O8" s="612">
        <f>masc_exp2!M6</f>
        <v>0</v>
      </c>
      <c r="P8" s="612"/>
      <c r="Q8" s="612"/>
      <c r="R8" s="612"/>
      <c r="S8" s="612"/>
      <c r="T8" s="612"/>
      <c r="U8" s="612"/>
      <c r="V8" s="107"/>
      <c r="W8" s="107"/>
      <c r="X8" s="107"/>
      <c r="Y8" s="91"/>
      <c r="Z8" s="91"/>
      <c r="AA8" s="91"/>
      <c r="AB8" s="94"/>
      <c r="AC8" s="28"/>
      <c r="AD8" s="4" t="s">
        <v>4</v>
      </c>
      <c r="AE8" s="31">
        <f>IF(YEAR(AF7)&gt;YEAR(E10),(YEAR(AF7)-YEAR(E10))-AH8,0)</f>
        <v>0</v>
      </c>
      <c r="AF8" s="8">
        <f>IF(AG8&lt;=0,DAY(AF7)-DAY(E10),0)</f>
        <v>0</v>
      </c>
      <c r="AG8" s="4">
        <f>MONTH(AF7)-MONTH(E10)</f>
        <v>0</v>
      </c>
      <c r="AH8" s="9">
        <f>IF(AG8&lt;0,1,IF(AF8&lt;0,1,0))</f>
        <v>0</v>
      </c>
      <c r="AI8" s="32">
        <f>DAY(AF7)-DAY(E10)</f>
        <v>0</v>
      </c>
      <c r="AJ8" s="32">
        <f>IF(AI8&gt;=15,AG8+1,AG8)</f>
        <v>0</v>
      </c>
    </row>
    <row r="9" spans="1:42" ht="7.5" customHeight="1">
      <c r="A9" s="91"/>
      <c r="B9" s="94"/>
      <c r="C9" s="94"/>
      <c r="D9" s="94"/>
      <c r="E9" s="94"/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28"/>
      <c r="AD9" s="4" t="s">
        <v>5</v>
      </c>
      <c r="AE9" s="6">
        <f>YEAR(M10)</f>
        <v>1900</v>
      </c>
      <c r="AF9" s="7">
        <f>DATE(AE9,1,1)</f>
        <v>1</v>
      </c>
      <c r="AG9" s="7"/>
      <c r="AI9" s="10"/>
    </row>
    <row r="10" spans="1:42" ht="15">
      <c r="A10" s="91"/>
      <c r="B10" s="94" t="s">
        <v>2</v>
      </c>
      <c r="C10" s="94"/>
      <c r="D10" s="94"/>
      <c r="E10" s="605">
        <f>masc_exp2!L8</f>
        <v>0</v>
      </c>
      <c r="F10" s="606"/>
      <c r="G10" s="606"/>
      <c r="H10" s="606"/>
      <c r="I10" s="606"/>
      <c r="J10" s="94"/>
      <c r="K10" s="94" t="s">
        <v>3</v>
      </c>
      <c r="L10" s="94"/>
      <c r="M10" s="607">
        <f>masc_exp2!L10</f>
        <v>0</v>
      </c>
      <c r="N10" s="607"/>
      <c r="O10" s="607"/>
      <c r="P10" s="607"/>
      <c r="Q10" s="96"/>
      <c r="R10" s="648" t="s">
        <v>89</v>
      </c>
      <c r="S10" s="648"/>
      <c r="T10" s="648"/>
      <c r="U10" s="648"/>
      <c r="V10" s="648"/>
      <c r="W10" s="648"/>
      <c r="X10" s="607">
        <f>(masc_exp2!L8+masc_exp2!L12)-1</f>
        <v>-1</v>
      </c>
      <c r="Y10" s="607"/>
      <c r="Z10" s="607"/>
      <c r="AA10" s="607"/>
      <c r="AB10" s="94"/>
      <c r="AC10" s="28"/>
      <c r="AD10" s="4" t="s">
        <v>6</v>
      </c>
      <c r="AE10" s="6">
        <f>MONTH(AF7)+AG10</f>
        <v>0</v>
      </c>
      <c r="AF10" s="9">
        <f>DAY(AF7)</f>
        <v>0</v>
      </c>
      <c r="AG10" s="9">
        <f>IF(AF10&lt;15,-1,0)</f>
        <v>-1</v>
      </c>
      <c r="AH10" s="32"/>
    </row>
    <row r="11" spans="1:42" ht="7.5" customHeight="1">
      <c r="A11" s="91"/>
      <c r="B11" s="94"/>
      <c r="C11" s="94"/>
      <c r="D11" s="94"/>
      <c r="E11" s="94"/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608"/>
      <c r="T11" s="608"/>
      <c r="U11" s="608"/>
      <c r="V11" s="608"/>
      <c r="W11" s="608"/>
      <c r="X11" s="608"/>
      <c r="Y11" s="608"/>
      <c r="Z11" s="608"/>
      <c r="AA11" s="608"/>
      <c r="AB11" s="94"/>
      <c r="AC11" s="2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</row>
    <row r="12" spans="1:42" ht="15">
      <c r="A12" s="91"/>
      <c r="B12" s="94" t="s">
        <v>61</v>
      </c>
      <c r="C12" s="94"/>
      <c r="D12" s="94"/>
      <c r="E12" s="609">
        <f>masc_exp2!L14</f>
        <v>0</v>
      </c>
      <c r="F12" s="609"/>
      <c r="G12" s="609"/>
      <c r="H12" s="609"/>
      <c r="I12" s="609"/>
      <c r="J12" s="609"/>
      <c r="K12" s="107"/>
      <c r="L12" s="107"/>
      <c r="M12" s="107"/>
      <c r="N12" s="108"/>
      <c r="O12" s="108"/>
      <c r="P12" s="108"/>
      <c r="Q12" s="108"/>
      <c r="R12" s="108"/>
      <c r="S12" s="108"/>
      <c r="T12" s="107"/>
      <c r="U12" s="107"/>
      <c r="V12" s="107"/>
      <c r="W12" s="107"/>
      <c r="X12" s="107"/>
      <c r="Y12" s="107"/>
      <c r="Z12" s="107"/>
      <c r="AA12" s="94"/>
      <c r="AB12" s="94"/>
      <c r="AC12" s="28"/>
      <c r="AD12" s="37" t="s">
        <v>7</v>
      </c>
      <c r="AE12" s="388">
        <f>IF(YEAR(E10)=YEAR(M10),IF(AG12&gt;=15,MONTH(M10)-MONTH(E10)+1,MONTH(M10)-MONTH(E10)),IF(MONTH(E10)&gt;MONTH(M10),12-MONTH(E10)+MONTH(M10)))</f>
        <v>0</v>
      </c>
      <c r="AF12" s="390">
        <f>IF(AG12&gt;=15,1,0)</f>
        <v>0</v>
      </c>
      <c r="AG12" s="391">
        <f>IF(DAY(E10)&gt;DAY(M10),(DAY(AG13)-DAY(E10)+DAY(M10)+1),DAY(M10)-DAY(E10)+1)</f>
        <v>1</v>
      </c>
      <c r="AH12" s="37">
        <f>(AF12-AG12)+1</f>
        <v>0</v>
      </c>
      <c r="AI12" s="37">
        <f>IF(AH12&gt;=15,1,0)</f>
        <v>0</v>
      </c>
      <c r="AJ12" s="37"/>
    </row>
    <row r="13" spans="1:42" ht="7.5" customHeight="1">
      <c r="A13" s="91"/>
      <c r="B13" s="94"/>
      <c r="C13" s="94"/>
      <c r="D13" s="94"/>
      <c r="E13" s="94"/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28"/>
      <c r="AD13" s="4" t="s">
        <v>10</v>
      </c>
      <c r="AE13" s="11">
        <f>E12/30</f>
        <v>0</v>
      </c>
      <c r="AF13" s="400" t="s">
        <v>203</v>
      </c>
      <c r="AG13" s="401" t="e">
        <f>EOMONTH(M10,-1)</f>
        <v>#NUM!</v>
      </c>
    </row>
    <row r="14" spans="1:42" ht="15">
      <c r="A14" s="91"/>
      <c r="B14" s="631" t="s">
        <v>43</v>
      </c>
      <c r="C14" s="631"/>
      <c r="D14" s="631"/>
      <c r="E14" s="631"/>
      <c r="F14" s="631"/>
      <c r="G14" s="631"/>
      <c r="H14" s="631"/>
      <c r="I14" s="631"/>
      <c r="J14" s="631"/>
      <c r="K14" s="631"/>
      <c r="L14" s="631"/>
      <c r="M14" s="612">
        <f>masc_exp2!K18</f>
        <v>0</v>
      </c>
      <c r="N14" s="612"/>
      <c r="O14" s="95"/>
      <c r="P14" s="611" t="s">
        <v>42</v>
      </c>
      <c r="Q14" s="611"/>
      <c r="R14" s="611"/>
      <c r="S14" s="611"/>
      <c r="T14" s="611"/>
      <c r="U14" s="611"/>
      <c r="V14" s="611"/>
      <c r="W14" s="611"/>
      <c r="X14" s="611"/>
      <c r="Y14" s="611"/>
      <c r="Z14" s="612">
        <f>masc_exp2!I20</f>
        <v>0</v>
      </c>
      <c r="AA14" s="612"/>
      <c r="AB14" s="94"/>
      <c r="AC14" s="28"/>
      <c r="AD14" s="4" t="s">
        <v>11</v>
      </c>
      <c r="AE14" s="11">
        <f>E12/12</f>
        <v>0</v>
      </c>
    </row>
    <row r="15" spans="1:42" ht="5.25" customHeight="1">
      <c r="A15" s="91"/>
      <c r="B15" s="98"/>
      <c r="C15" s="94"/>
      <c r="D15" s="94"/>
      <c r="E15" s="94"/>
      <c r="F15" s="94"/>
      <c r="G15" s="94"/>
      <c r="H15" s="91"/>
      <c r="I15" s="91"/>
      <c r="J15" s="91"/>
      <c r="K15" s="94"/>
      <c r="L15" s="107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94"/>
      <c r="AA15" s="94"/>
      <c r="AB15" s="94"/>
      <c r="AC15" s="28"/>
      <c r="AD15" s="389" t="s">
        <v>54</v>
      </c>
      <c r="AE15" s="390" t="s">
        <v>55</v>
      </c>
      <c r="AF15" s="390" t="s">
        <v>8</v>
      </c>
      <c r="AG15" s="390" t="s">
        <v>56</v>
      </c>
      <c r="AH15" s="391"/>
      <c r="AI15" s="38"/>
      <c r="AJ15" s="38"/>
      <c r="AK15" s="38"/>
      <c r="AL15" s="38"/>
      <c r="AM15" s="38"/>
    </row>
    <row r="16" spans="1:42" ht="7.5" customHeight="1">
      <c r="A16" s="91"/>
      <c r="B16" s="99"/>
      <c r="C16" s="99"/>
      <c r="D16" s="99"/>
      <c r="E16" s="99"/>
      <c r="F16" s="99"/>
      <c r="G16" s="99"/>
      <c r="H16" s="99"/>
      <c r="I16" s="99"/>
      <c r="J16" s="99"/>
      <c r="K16" s="99"/>
      <c r="L16" s="99"/>
      <c r="M16" s="99"/>
      <c r="N16" s="99"/>
      <c r="O16" s="100"/>
      <c r="P16" s="99"/>
      <c r="Q16" s="99"/>
      <c r="R16" s="99"/>
      <c r="S16" s="99"/>
      <c r="T16" s="99"/>
      <c r="U16" s="99"/>
      <c r="V16" s="99"/>
      <c r="W16" s="99"/>
      <c r="X16" s="99"/>
      <c r="Y16" s="99"/>
      <c r="Z16" s="99"/>
      <c r="AA16" s="99"/>
      <c r="AB16" s="94"/>
      <c r="AC16" s="28"/>
      <c r="AD16" s="392" t="s">
        <v>54</v>
      </c>
      <c r="AE16" s="393" t="e">
        <f>IF(YEAR(M10)&gt;YEAR(E10),IF(AF16&gt;=15,MONTH(M10),MONTH(M10)-1),IF(AF16&gt;=15,MONTH(M10)-MONTH(E10)+1,MONTH(M10-MONTH(E10))))</f>
        <v>#NUM!</v>
      </c>
      <c r="AF16" s="394">
        <f>IF(YEAR(E10)=YEAR(M10),IF(DAY(E10)&gt;DAY(M10),(DAY(AG13)-DAY(E10)+DAY(M10)+1),DAY(M10)-DAY(E10)+1),DAY(M10))</f>
        <v>1</v>
      </c>
      <c r="AG16" s="394" t="e">
        <f>IF(YEAR(M10)=YEAR(E10),IF(AF16&gt;=15,AE16,AE16-1),AE16)+AH16</f>
        <v>#NUM!</v>
      </c>
      <c r="AH16" s="395">
        <f>IF(YEAR(E10)=YEAR(M10),0,IF(DAY(E10)&gt;15,1,0))</f>
        <v>0</v>
      </c>
      <c r="AI16" s="38"/>
      <c r="AJ16" s="38"/>
      <c r="AK16" s="38"/>
      <c r="AL16" s="38"/>
      <c r="AM16" s="38"/>
    </row>
    <row r="17" spans="1:42" ht="7.5" customHeight="1">
      <c r="A17" s="91"/>
      <c r="B17" s="94"/>
      <c r="C17" s="94"/>
      <c r="D17" s="94"/>
      <c r="E17" s="94"/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28"/>
      <c r="AD17" s="35"/>
      <c r="AE17" s="4" t="e">
        <f>DAY(AG13)-DAY(E10)+1</f>
        <v>#NUM!</v>
      </c>
      <c r="AF17" s="35">
        <f>DAY(M10)</f>
        <v>0</v>
      </c>
      <c r="AG17" s="36"/>
      <c r="AH17" s="35"/>
      <c r="AI17" s="38"/>
      <c r="AJ17" s="38"/>
      <c r="AK17" s="38"/>
      <c r="AL17" s="38"/>
      <c r="AM17" s="38"/>
    </row>
    <row r="18" spans="1:42" ht="12.75" customHeight="1">
      <c r="A18" s="91"/>
      <c r="B18" s="101" t="s">
        <v>9</v>
      </c>
      <c r="C18" s="101"/>
      <c r="D18" s="101"/>
      <c r="E18" s="101"/>
      <c r="F18" s="613">
        <f>IF(AG6&gt;30,30,AG6)</f>
        <v>1</v>
      </c>
      <c r="G18" s="613"/>
      <c r="H18" s="101" t="str">
        <f>IF(F18=1,"dia","dias")</f>
        <v>dia</v>
      </c>
      <c r="I18" s="614">
        <f>(F18*AE13)+W12</f>
        <v>0</v>
      </c>
      <c r="J18" s="614"/>
      <c r="K18" s="614"/>
      <c r="L18" s="614"/>
      <c r="M18" s="101"/>
      <c r="N18" s="101"/>
      <c r="O18" s="101"/>
      <c r="P18" s="101"/>
      <c r="Q18" s="101"/>
      <c r="R18" s="615" t="s">
        <v>0</v>
      </c>
      <c r="S18" s="615"/>
      <c r="T18" s="615"/>
      <c r="U18" s="615"/>
      <c r="V18" s="615"/>
      <c r="W18" s="615"/>
      <c r="X18" s="615"/>
      <c r="Y18" s="615"/>
      <c r="Z18" s="615"/>
      <c r="AA18" s="615"/>
      <c r="AB18" s="94"/>
      <c r="AC18" s="28"/>
      <c r="AD18" s="34" t="s">
        <v>52</v>
      </c>
      <c r="AE18" s="6">
        <f>YEAR(AF7)-YEAR(E10)</f>
        <v>0</v>
      </c>
      <c r="AF18" s="9">
        <f>IF(AE18=0,MONTH(AF7)-MONTH(E10),0)</f>
        <v>0</v>
      </c>
      <c r="AG18" s="9">
        <f>IF(AE18=0,DAY(AF7)-DAY(E10),0)</f>
        <v>0</v>
      </c>
      <c r="AH18" s="34">
        <f>IF(AF18&gt;0,IF(AG18&gt;=15,AF18,AF18-1),0)</f>
        <v>0</v>
      </c>
      <c r="AI18" s="9">
        <f>DAY(AF7)</f>
        <v>0</v>
      </c>
      <c r="AJ18" s="14">
        <f>IF(AF18=0,MONTH(AF7),0)</f>
        <v>1</v>
      </c>
      <c r="AK18" s="34">
        <f>IF(AJ18&gt;0,IF(AI18&gt;=15,AJ18,AJ18-1),0)</f>
        <v>0</v>
      </c>
    </row>
    <row r="19" spans="1:42" ht="6" customHeight="1">
      <c r="A19" s="91"/>
      <c r="B19" s="101"/>
      <c r="C19" s="101"/>
      <c r="D19" s="101"/>
      <c r="E19" s="101"/>
      <c r="F19" s="101"/>
      <c r="G19" s="101"/>
      <c r="H19" s="101"/>
      <c r="I19" s="102"/>
      <c r="J19" s="102"/>
      <c r="K19" s="102"/>
      <c r="L19" s="102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94"/>
      <c r="AC19" s="28"/>
      <c r="AD19" s="12" t="s">
        <v>14</v>
      </c>
      <c r="AE19" s="13" t="s">
        <v>15</v>
      </c>
      <c r="AF19" s="14" t="s">
        <v>17</v>
      </c>
      <c r="AG19" s="4" t="s">
        <v>18</v>
      </c>
      <c r="AH19" s="4" t="s">
        <v>57</v>
      </c>
    </row>
    <row r="20" spans="1:42" ht="12.75" customHeight="1">
      <c r="A20" s="91"/>
      <c r="B20" s="101" t="str">
        <f>IF(I20&gt;0,"13º Salário:","")</f>
        <v/>
      </c>
      <c r="C20" s="101"/>
      <c r="D20" s="101"/>
      <c r="E20" s="628" t="b">
        <f>AF3</f>
        <v>0</v>
      </c>
      <c r="F20" s="629"/>
      <c r="G20" s="105" t="str">
        <f>IF(E20&gt;0,IF(E20=1,"mês","meses"),"")</f>
        <v>meses</v>
      </c>
      <c r="H20" s="101"/>
      <c r="I20" s="617">
        <f>AE14*E20</f>
        <v>0</v>
      </c>
      <c r="J20" s="617"/>
      <c r="K20" s="617"/>
      <c r="L20" s="617"/>
      <c r="M20" s="630"/>
      <c r="N20" s="630"/>
      <c r="O20" s="103"/>
      <c r="P20" s="101"/>
      <c r="Q20" s="101"/>
      <c r="R20" s="101" t="str">
        <f>IF(X20&gt;0,"INSS Saldo Salário:","")</f>
        <v/>
      </c>
      <c r="S20" s="101"/>
      <c r="T20" s="101"/>
      <c r="U20" s="101"/>
      <c r="V20" s="101"/>
      <c r="W20" s="101"/>
      <c r="X20" s="617">
        <f>IF(AF24&gt;0,I18*AF24,AE23)</f>
        <v>0</v>
      </c>
      <c r="Y20" s="617"/>
      <c r="Z20" s="617"/>
      <c r="AA20" s="617"/>
      <c r="AB20" s="94"/>
      <c r="AC20" s="28"/>
      <c r="AD20" s="4" t="s">
        <v>12</v>
      </c>
      <c r="AE20" s="15">
        <f>config!F72</f>
        <v>1659.38</v>
      </c>
      <c r="AF20" s="14">
        <f>IF(I22&lt;=AE20,config!M72,0)</f>
        <v>0.08</v>
      </c>
      <c r="AG20" s="4">
        <f>IF(I24&lt;=AE20,config!M72,0)</f>
        <v>0.08</v>
      </c>
      <c r="AH20" s="4">
        <f>IF(I36&lt;=AE20,8%,0)</f>
        <v>0.08</v>
      </c>
    </row>
    <row r="21" spans="1:42" ht="6" customHeight="1">
      <c r="A21" s="91"/>
      <c r="B21" s="101"/>
      <c r="C21" s="101"/>
      <c r="D21" s="101"/>
      <c r="E21" s="101"/>
      <c r="F21" s="101"/>
      <c r="G21" s="101"/>
      <c r="H21" s="101"/>
      <c r="I21" s="102"/>
      <c r="J21" s="102"/>
      <c r="K21" s="102"/>
      <c r="L21" s="102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4"/>
      <c r="Y21" s="104"/>
      <c r="Z21" s="104"/>
      <c r="AA21" s="104"/>
      <c r="AB21" s="94"/>
      <c r="AC21" s="28"/>
      <c r="AD21" s="4" t="s">
        <v>12</v>
      </c>
      <c r="AE21" s="15">
        <f>config!J73</f>
        <v>2765.66</v>
      </c>
      <c r="AF21" s="14">
        <f>IF(I22&gt;AE20,IF(I22&lt;=AE21,config!M73,0),0)</f>
        <v>0</v>
      </c>
      <c r="AG21" s="4">
        <f>IF(I24&gt;AE20,IF(I24&lt;=AE21,config!M73,0),0)</f>
        <v>0</v>
      </c>
      <c r="AH21" s="4">
        <f>IF(I36&gt;AE20,IF(I36&lt;=AE21,9%,0),0)</f>
        <v>0</v>
      </c>
    </row>
    <row r="22" spans="1:42" ht="12.75" customHeight="1">
      <c r="A22" s="91"/>
      <c r="B22" s="101" t="str">
        <f>IF(I22&gt;0,"Férias Proporcionais:","")</f>
        <v/>
      </c>
      <c r="C22" s="101"/>
      <c r="D22" s="101"/>
      <c r="E22" s="101"/>
      <c r="F22" s="101"/>
      <c r="G22" s="101"/>
      <c r="H22" s="106"/>
      <c r="I22" s="617">
        <f>AE12*AE14</f>
        <v>0</v>
      </c>
      <c r="J22" s="617"/>
      <c r="K22" s="617"/>
      <c r="L22" s="617"/>
      <c r="M22" s="468" t="b">
        <f>AF3</f>
        <v>0</v>
      </c>
      <c r="N22" s="91" t="str">
        <f>IF(M22&gt;1,"meses","mês")</f>
        <v>meses</v>
      </c>
      <c r="O22" s="91"/>
      <c r="P22" s="91"/>
      <c r="Q22" s="101"/>
      <c r="R22" s="101" t="str">
        <f>IF(X22&gt;0,"Inss 13º Salário:","")</f>
        <v/>
      </c>
      <c r="S22" s="101"/>
      <c r="T22" s="101"/>
      <c r="U22" s="101"/>
      <c r="V22" s="101"/>
      <c r="W22" s="97"/>
      <c r="X22" s="614">
        <f>IF(AG24&gt;0,I20*AG24,AE23)</f>
        <v>0</v>
      </c>
      <c r="Y22" s="614"/>
      <c r="Z22" s="614"/>
      <c r="AA22" s="614"/>
      <c r="AB22" s="94"/>
      <c r="AC22" s="28"/>
      <c r="AD22" s="4" t="s">
        <v>12</v>
      </c>
      <c r="AE22" s="15">
        <f>config!J74</f>
        <v>5531.31</v>
      </c>
      <c r="AF22" s="14">
        <f>IF(I22&gt;AE21,IF(I22&lt;=AE22,config!M74,0),0)</f>
        <v>0</v>
      </c>
      <c r="AG22" s="4">
        <f>IF(I24&gt;AE21,IF(I24&lt;=AE22,config!M74,0),0)</f>
        <v>0</v>
      </c>
      <c r="AH22" s="4">
        <f>IF(I36&gt;AE21,IF(I36&lt;=AE22,11%,0),0)</f>
        <v>0</v>
      </c>
    </row>
    <row r="23" spans="1:42" ht="6" customHeight="1">
      <c r="A23" s="91"/>
      <c r="B23" s="101"/>
      <c r="C23" s="101"/>
      <c r="D23" s="101"/>
      <c r="E23" s="101"/>
      <c r="F23" s="101"/>
      <c r="G23" s="101"/>
      <c r="H23" s="101"/>
      <c r="I23" s="102"/>
      <c r="J23" s="102"/>
      <c r="K23" s="102"/>
      <c r="L23" s="102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4"/>
      <c r="Y23" s="104"/>
      <c r="Z23" s="104"/>
      <c r="AA23" s="104"/>
      <c r="AB23" s="94"/>
      <c r="AC23" s="28"/>
      <c r="AD23" s="4" t="s">
        <v>13</v>
      </c>
      <c r="AE23" s="15">
        <f>AE22*11%</f>
        <v>608.44410000000005</v>
      </c>
      <c r="AF23" s="14">
        <f>IF(I22&gt;AE22,381.4,0)</f>
        <v>0</v>
      </c>
      <c r="AG23" s="4">
        <f>IF(I24&gt;AE22,381.41,0)</f>
        <v>0</v>
      </c>
      <c r="AH23" s="4">
        <f>IF(I36&gt;AE22,381.41,0)</f>
        <v>0</v>
      </c>
    </row>
    <row r="24" spans="1:42" ht="12.75" customHeight="1">
      <c r="A24" s="91"/>
      <c r="B24" s="101" t="str">
        <f>IF(I24&gt;0,"1/3 Férias Proporcionais:","")</f>
        <v/>
      </c>
      <c r="C24" s="101"/>
      <c r="D24" s="101"/>
      <c r="E24" s="101"/>
      <c r="F24" s="101"/>
      <c r="G24" s="101"/>
      <c r="H24" s="101"/>
      <c r="I24" s="614">
        <f>I22/3</f>
        <v>0</v>
      </c>
      <c r="J24" s="614"/>
      <c r="K24" s="614"/>
      <c r="L24" s="614"/>
      <c r="M24" s="101"/>
      <c r="N24" s="101"/>
      <c r="O24" s="101"/>
      <c r="P24" s="101"/>
      <c r="Q24" s="101"/>
      <c r="R24" s="103" t="str">
        <f>IF(X24&gt;0,"Contrib. Confed.:","")</f>
        <v/>
      </c>
      <c r="S24" s="103"/>
      <c r="T24" s="103"/>
      <c r="U24" s="103"/>
      <c r="V24" s="103"/>
      <c r="W24" s="103"/>
      <c r="X24" s="622">
        <f>IF(I18&lt;=3000,I18*config!P6,60)</f>
        <v>0</v>
      </c>
      <c r="Y24" s="622"/>
      <c r="Z24" s="622"/>
      <c r="AA24" s="622"/>
      <c r="AB24" s="94"/>
      <c r="AC24" s="27"/>
      <c r="AD24" s="4" t="s">
        <v>16</v>
      </c>
      <c r="AE24" s="14"/>
      <c r="AF24" s="14">
        <f>IF(I18&lt;=AE22,SUM(AF20:AF22),0)</f>
        <v>0.08</v>
      </c>
      <c r="AG24" s="14">
        <f>IF(I20&lt;=AE22,SUM(AG20:AG22),0)</f>
        <v>0.08</v>
      </c>
      <c r="AH24" s="4">
        <f>IF(I36&lt;=AE22,SUM(AH20:AH22),0)</f>
        <v>0.08</v>
      </c>
    </row>
    <row r="25" spans="1:42" ht="6" customHeight="1">
      <c r="A25" s="91"/>
      <c r="B25" s="101"/>
      <c r="C25" s="101"/>
      <c r="D25" s="101"/>
      <c r="E25" s="101"/>
      <c r="F25" s="101"/>
      <c r="G25" s="101"/>
      <c r="H25" s="101"/>
      <c r="I25" s="102"/>
      <c r="J25" s="102"/>
      <c r="K25" s="102"/>
      <c r="L25" s="102"/>
      <c r="M25" s="101"/>
      <c r="N25" s="101"/>
      <c r="O25" s="101"/>
      <c r="P25" s="120"/>
      <c r="Q25" s="120"/>
      <c r="R25" s="120"/>
      <c r="S25" s="120"/>
      <c r="T25" s="120"/>
      <c r="U25" s="120"/>
      <c r="V25" s="120"/>
      <c r="W25" s="120"/>
      <c r="X25" s="104"/>
      <c r="Y25" s="104"/>
      <c r="Z25" s="104"/>
      <c r="AA25" s="104"/>
      <c r="AB25" s="94"/>
      <c r="AC25" s="28"/>
    </row>
    <row r="26" spans="1:42" ht="12.75" customHeight="1">
      <c r="A26" s="91"/>
      <c r="B26" s="107" t="str">
        <f>IF(I26&gt;0,"Quebra de contrato:","")</f>
        <v/>
      </c>
      <c r="C26" s="108"/>
      <c r="D26" s="108"/>
      <c r="E26" s="108"/>
      <c r="F26" s="108"/>
      <c r="G26" s="108"/>
      <c r="H26" s="108"/>
      <c r="I26" s="614">
        <f>IF(O8="por parte da empresa",AE5*AE13,0)</f>
        <v>0</v>
      </c>
      <c r="J26" s="614"/>
      <c r="K26" s="614"/>
      <c r="L26" s="614"/>
      <c r="M26" s="108"/>
      <c r="N26" s="108"/>
      <c r="O26" s="121"/>
      <c r="P26" s="123"/>
      <c r="Q26" s="124"/>
      <c r="R26" s="107" t="str">
        <f>IF(X26&gt;0,"Quebra de contrato:","")</f>
        <v/>
      </c>
      <c r="S26" s="108"/>
      <c r="T26" s="108"/>
      <c r="U26" s="108"/>
      <c r="V26" s="108"/>
      <c r="W26" s="108"/>
      <c r="X26" s="622">
        <f>IF(O8="por parte do trabalhador",AE5*AE13,0)</f>
        <v>0</v>
      </c>
      <c r="Y26" s="622"/>
      <c r="Z26" s="622"/>
      <c r="AA26" s="622"/>
      <c r="AB26" s="101"/>
      <c r="AC26" s="27"/>
      <c r="AD26" s="4" t="s">
        <v>19</v>
      </c>
      <c r="AM26" s="16"/>
      <c r="AP26" s="16"/>
    </row>
    <row r="27" spans="1:42" ht="6" customHeight="1">
      <c r="A27" s="91"/>
      <c r="B27" s="101"/>
      <c r="C27" s="101"/>
      <c r="D27" s="101"/>
      <c r="E27" s="101"/>
      <c r="F27" s="101"/>
      <c r="G27" s="101"/>
      <c r="H27" s="101"/>
      <c r="I27" s="102"/>
      <c r="J27" s="102"/>
      <c r="K27" s="102"/>
      <c r="L27" s="102"/>
      <c r="M27" s="101"/>
      <c r="N27" s="101"/>
      <c r="O27" s="101"/>
      <c r="P27" s="124"/>
      <c r="Q27" s="124"/>
      <c r="R27" s="124"/>
      <c r="S27" s="124"/>
      <c r="T27" s="124"/>
      <c r="U27" s="124"/>
      <c r="V27" s="124"/>
      <c r="W27" s="124"/>
      <c r="X27" s="104"/>
      <c r="Y27" s="104"/>
      <c r="Z27" s="104"/>
      <c r="AA27" s="104"/>
      <c r="AB27" s="94"/>
      <c r="AC27" s="28"/>
      <c r="AE27" s="4" t="s">
        <v>22</v>
      </c>
      <c r="AF27" s="4" t="s">
        <v>20</v>
      </c>
      <c r="AG27" s="4" t="s">
        <v>21</v>
      </c>
      <c r="AH27" s="16" t="s">
        <v>28</v>
      </c>
      <c r="AI27" s="16" t="s">
        <v>29</v>
      </c>
      <c r="AL27" s="18"/>
      <c r="AO27" s="16"/>
    </row>
    <row r="28" spans="1:42" ht="12.75" customHeight="1">
      <c r="A28" s="91"/>
      <c r="B28" s="101" t="str">
        <f>IF(I28&gt;0,"Salário família:","")</f>
        <v/>
      </c>
      <c r="C28" s="101"/>
      <c r="D28" s="101"/>
      <c r="E28" s="101"/>
      <c r="F28" s="101"/>
      <c r="G28" s="101"/>
      <c r="H28" s="101"/>
      <c r="I28" s="614">
        <f>SUM(AG46:AG47)</f>
        <v>0</v>
      </c>
      <c r="J28" s="614"/>
      <c r="K28" s="614"/>
      <c r="L28" s="614"/>
      <c r="M28" s="108"/>
      <c r="N28" s="108"/>
      <c r="O28" s="108"/>
      <c r="P28" s="108"/>
      <c r="Q28" s="124"/>
      <c r="R28" s="124" t="str">
        <f>IF(X28&gt;0,"IRPF 13º:","")</f>
        <v/>
      </c>
      <c r="S28" s="124"/>
      <c r="T28" s="124"/>
      <c r="U28" s="124"/>
      <c r="V28" s="124"/>
      <c r="W28" s="124"/>
      <c r="X28" s="617">
        <f>SUM(AI29:AI32)</f>
        <v>0</v>
      </c>
      <c r="Y28" s="617"/>
      <c r="Z28" s="617"/>
      <c r="AA28" s="617"/>
      <c r="AB28" s="101"/>
      <c r="AC28" s="27"/>
      <c r="AD28" s="17">
        <f>config!F60</f>
        <v>1903.98</v>
      </c>
      <c r="AE28" s="17">
        <f>AD28</f>
        <v>1903.98</v>
      </c>
      <c r="AF28" s="4">
        <f>config!M60</f>
        <v>0</v>
      </c>
      <c r="AG28" s="16">
        <f>config!P60</f>
        <v>0</v>
      </c>
      <c r="AH28" s="16"/>
      <c r="AK28" s="17"/>
      <c r="AL28" s="17"/>
      <c r="AM28" s="18"/>
      <c r="AO28" s="17"/>
      <c r="AP28" s="18"/>
    </row>
    <row r="29" spans="1:42" ht="6" customHeight="1">
      <c r="A29" s="91"/>
      <c r="B29" s="101"/>
      <c r="C29" s="101"/>
      <c r="D29" s="101"/>
      <c r="E29" s="101"/>
      <c r="F29" s="101"/>
      <c r="G29" s="101"/>
      <c r="H29" s="101"/>
      <c r="I29" s="102"/>
      <c r="J29" s="102"/>
      <c r="K29" s="102"/>
      <c r="L29" s="102"/>
      <c r="M29" s="101"/>
      <c r="N29" s="101"/>
      <c r="O29" s="101"/>
      <c r="P29" s="120"/>
      <c r="Q29" s="120"/>
      <c r="R29" s="120"/>
      <c r="S29" s="120"/>
      <c r="T29" s="120"/>
      <c r="U29" s="120"/>
      <c r="V29" s="120"/>
      <c r="W29" s="120"/>
      <c r="X29" s="104"/>
      <c r="Y29" s="104"/>
      <c r="Z29" s="104"/>
      <c r="AA29" s="104"/>
      <c r="AB29" s="94"/>
      <c r="AC29" s="28"/>
      <c r="AD29" s="17">
        <f>config!J61</f>
        <v>2826.65</v>
      </c>
      <c r="AE29" s="17">
        <f>AD29</f>
        <v>2826.65</v>
      </c>
      <c r="AF29" s="19">
        <f>config!M61</f>
        <v>7.4999999999999997E-2</v>
      </c>
      <c r="AG29" s="20">
        <f>config!P61</f>
        <v>142.80000000000001</v>
      </c>
      <c r="AH29" s="18">
        <f>IF($AE$36&gt;$AD28,IF($AE$36&lt;=$AE29,($AE$36*$AF29)-$AG29,0),0)</f>
        <v>0</v>
      </c>
      <c r="AI29" s="18">
        <f>IF($AE$37&gt;$AD28,IF($AE$37&lt;=$AE29,($AE$37*$AF29)-$AG29,0),0)</f>
        <v>0</v>
      </c>
      <c r="AK29" s="17"/>
      <c r="AL29" s="18"/>
      <c r="AN29" s="17"/>
      <c r="AO29" s="18"/>
    </row>
    <row r="30" spans="1:42" ht="17.25" customHeight="1">
      <c r="A30" s="91"/>
      <c r="M30" s="108"/>
      <c r="N30" s="108"/>
      <c r="O30" s="108"/>
      <c r="P30" s="123"/>
      <c r="Q30" s="124"/>
      <c r="R30" s="120" t="str">
        <f>IF(X30&gt;0,"IRPF Salário:","")</f>
        <v/>
      </c>
      <c r="S30" s="120"/>
      <c r="T30" s="120"/>
      <c r="U30" s="120"/>
      <c r="V30" s="120"/>
      <c r="W30" s="120"/>
      <c r="X30" s="617">
        <f>SUM(AH29:AH32)</f>
        <v>0</v>
      </c>
      <c r="Y30" s="617"/>
      <c r="Z30" s="617"/>
      <c r="AA30" s="617"/>
      <c r="AB30" s="94"/>
      <c r="AC30" s="28"/>
      <c r="AD30" s="17">
        <f>config!J62</f>
        <v>3751.05</v>
      </c>
      <c r="AE30" s="17">
        <f>AD30</f>
        <v>3751.05</v>
      </c>
      <c r="AF30" s="21">
        <f>config!M62</f>
        <v>0.15</v>
      </c>
      <c r="AG30" s="20">
        <f>config!P62</f>
        <v>354.8</v>
      </c>
      <c r="AH30" s="18">
        <f>IF(AE36&gt;AE29,IF(AE36&lt;=AE30,(AE36*AF30)-AG30,0),0)</f>
        <v>0</v>
      </c>
      <c r="AI30" s="18">
        <f>IF($AE$37&gt;$AD29,IF($AE$37&lt;=$AE30,($AE$37*$AF30)-$AG30,0),0)</f>
        <v>0</v>
      </c>
      <c r="AK30" s="17"/>
      <c r="AL30" s="17"/>
      <c r="AM30" s="18"/>
      <c r="AO30" s="17"/>
      <c r="AP30" s="18"/>
    </row>
    <row r="31" spans="1:42" ht="6" customHeight="1">
      <c r="A31" s="91"/>
      <c r="B31" s="101"/>
      <c r="C31" s="101"/>
      <c r="D31" s="101"/>
      <c r="E31" s="101"/>
      <c r="F31" s="101"/>
      <c r="G31" s="101"/>
      <c r="H31" s="101"/>
      <c r="I31" s="102"/>
      <c r="J31" s="102"/>
      <c r="K31" s="102"/>
      <c r="L31" s="102"/>
      <c r="M31" s="108"/>
      <c r="N31" s="108"/>
      <c r="O31" s="108"/>
      <c r="P31" s="123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94"/>
      <c r="AC31" s="28"/>
      <c r="AD31" s="17">
        <f>config!J63</f>
        <v>4664.68</v>
      </c>
      <c r="AE31" s="17">
        <f>AD31</f>
        <v>4664.68</v>
      </c>
      <c r="AF31" s="19">
        <f>config!M63</f>
        <v>0.22500000000000001</v>
      </c>
      <c r="AG31" s="20">
        <f>config!P63</f>
        <v>636.13</v>
      </c>
      <c r="AH31" s="18">
        <f>IF($AE$36&gt;$AD30,IF($AE$36&lt;=$AE31,($AE$36*$AF31)-$AG31,0),0)</f>
        <v>0</v>
      </c>
      <c r="AI31" s="18">
        <f>IF($AE$37&gt;$AD30,IF($AE$37&lt;=$AE31,($AE$37*$AF31)-$AG31,0),0)</f>
        <v>0</v>
      </c>
      <c r="AK31" s="17"/>
      <c r="AL31" s="18"/>
      <c r="AN31" s="17"/>
      <c r="AO31" s="18"/>
    </row>
    <row r="32" spans="1:42" ht="21.75" customHeight="1">
      <c r="A32" s="91"/>
      <c r="M32" s="108"/>
      <c r="N32" s="108"/>
      <c r="O32" s="108"/>
      <c r="P32" s="123"/>
      <c r="Q32" s="124"/>
      <c r="R32" s="4" t="str">
        <f>IF(X32=0,"","Adiantamentos")</f>
        <v/>
      </c>
      <c r="X32" s="617">
        <f>masc_exp2!R18</f>
        <v>0</v>
      </c>
      <c r="Y32" s="617"/>
      <c r="Z32" s="617"/>
      <c r="AA32" s="617"/>
      <c r="AB32" s="107"/>
      <c r="AC32" s="28"/>
      <c r="AD32" s="4" t="s">
        <v>23</v>
      </c>
      <c r="AE32" s="19"/>
      <c r="AF32" s="19">
        <f>config!M64</f>
        <v>0.27500000000000002</v>
      </c>
      <c r="AG32" s="20">
        <f>config!P64</f>
        <v>869.36</v>
      </c>
      <c r="AH32" s="18">
        <f>IF($AE36&gt;$AE31,($AE36*$AF32)-$AG32,0)</f>
        <v>0</v>
      </c>
      <c r="AI32" s="17">
        <f>IF(AE37&gt;AE31,(AE37*AF32)-AG32,0)</f>
        <v>0</v>
      </c>
      <c r="AK32" s="17"/>
    </row>
    <row r="33" spans="1:37" ht="4.5" customHeight="1">
      <c r="A33" s="91"/>
      <c r="M33" s="108"/>
      <c r="N33" s="108"/>
      <c r="O33" s="108"/>
      <c r="P33" s="123"/>
      <c r="Q33" s="124"/>
      <c r="AB33" s="107"/>
      <c r="AC33" s="28"/>
      <c r="AE33" s="19"/>
      <c r="AF33" s="19"/>
      <c r="AG33" s="20"/>
      <c r="AH33" s="18"/>
      <c r="AI33" s="17"/>
      <c r="AK33" s="17"/>
    </row>
    <row r="34" spans="1:37" ht="21.75" customHeight="1">
      <c r="A34" s="91"/>
      <c r="B34" s="113" t="s">
        <v>47</v>
      </c>
      <c r="C34" s="114"/>
      <c r="D34" s="114"/>
      <c r="E34" s="114"/>
      <c r="F34" s="114"/>
      <c r="G34" s="114"/>
      <c r="H34" s="618">
        <f>I28+I26+I24+I22+I20+I18</f>
        <v>0</v>
      </c>
      <c r="I34" s="618"/>
      <c r="J34" s="618"/>
      <c r="K34" s="618"/>
      <c r="L34" s="619"/>
      <c r="M34" s="108"/>
      <c r="N34" s="108"/>
      <c r="O34" s="108"/>
      <c r="P34" s="123"/>
      <c r="Q34" s="124"/>
      <c r="R34" s="632" t="s">
        <v>1</v>
      </c>
      <c r="S34" s="633"/>
      <c r="T34" s="633"/>
      <c r="U34" s="633"/>
      <c r="V34" s="633"/>
      <c r="W34" s="634">
        <f>X30+X28+X26+X24+X22+X20+X32</f>
        <v>0</v>
      </c>
      <c r="X34" s="635"/>
      <c r="Y34" s="635"/>
      <c r="Z34" s="635"/>
      <c r="AA34" s="636"/>
      <c r="AB34" s="107"/>
      <c r="AC34" s="28"/>
      <c r="AE34" s="19"/>
      <c r="AF34" s="19"/>
      <c r="AG34" s="20"/>
      <c r="AH34" s="18"/>
      <c r="AI34" s="17"/>
      <c r="AK34" s="17"/>
    </row>
    <row r="35" spans="1:37" ht="14.25" customHeight="1" thickBot="1">
      <c r="A35" s="91"/>
      <c r="B35" s="101"/>
      <c r="C35" s="101"/>
      <c r="D35" s="101"/>
      <c r="E35" s="101"/>
      <c r="F35" s="101"/>
      <c r="G35" s="101"/>
      <c r="H35" s="101"/>
      <c r="I35" s="110"/>
      <c r="J35" s="111"/>
      <c r="K35" s="111"/>
      <c r="L35" s="111"/>
      <c r="M35" s="109"/>
      <c r="N35" s="109"/>
      <c r="O35" s="109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/>
      <c r="AB35" s="107"/>
      <c r="AC35" s="28"/>
      <c r="AD35" s="4" t="s">
        <v>27</v>
      </c>
      <c r="AE35" s="17">
        <f>config!K66</f>
        <v>189.59</v>
      </c>
      <c r="AF35" s="22">
        <f>AE35*X14</f>
        <v>0</v>
      </c>
    </row>
    <row r="36" spans="1:37" ht="23.25" customHeight="1" thickBot="1">
      <c r="A36" s="91"/>
      <c r="B36" s="101"/>
      <c r="C36" s="101"/>
      <c r="D36" s="101"/>
      <c r="E36" s="101"/>
      <c r="F36" s="101"/>
      <c r="G36" s="101"/>
      <c r="H36" s="101"/>
      <c r="I36" s="614"/>
      <c r="J36" s="614"/>
      <c r="K36" s="614"/>
      <c r="L36" s="614"/>
      <c r="M36" s="116" t="s">
        <v>46</v>
      </c>
      <c r="N36" s="402"/>
      <c r="O36" s="402"/>
      <c r="P36" s="403"/>
      <c r="Q36" s="404"/>
      <c r="R36" s="405"/>
      <c r="S36" s="625">
        <f>IF(H34&gt;W34,H34-W34,0)</f>
        <v>0</v>
      </c>
      <c r="T36" s="625"/>
      <c r="U36" s="625"/>
      <c r="V36" s="626"/>
      <c r="W36" s="406"/>
      <c r="AB36" s="107"/>
      <c r="AC36" s="28"/>
      <c r="AD36" s="4" t="s">
        <v>25</v>
      </c>
      <c r="AE36" s="23">
        <f>I18-X20-AF35</f>
        <v>0</v>
      </c>
    </row>
    <row r="37" spans="1:37" ht="9.75" customHeight="1" thickBot="1">
      <c r="A37" s="91"/>
      <c r="B37" s="101"/>
      <c r="C37" s="101"/>
      <c r="D37" s="101"/>
      <c r="E37" s="101"/>
      <c r="F37" s="101"/>
      <c r="G37" s="101"/>
      <c r="H37" s="101"/>
      <c r="I37" s="112"/>
      <c r="J37" s="112"/>
      <c r="K37" s="112"/>
      <c r="L37" s="385" t="s">
        <v>202</v>
      </c>
      <c r="M37" s="109"/>
      <c r="N37" s="109"/>
      <c r="O37" s="109"/>
      <c r="P37" s="124"/>
      <c r="Q37" s="123"/>
      <c r="R37" s="123"/>
      <c r="S37" s="123"/>
      <c r="T37" s="123"/>
      <c r="U37" s="123"/>
      <c r="V37" s="123"/>
      <c r="W37" s="123"/>
      <c r="X37" s="123"/>
      <c r="Y37" s="123"/>
      <c r="Z37" s="123"/>
      <c r="AA37" s="123"/>
      <c r="AB37" s="107"/>
      <c r="AC37" s="28"/>
      <c r="AD37" s="4" t="s">
        <v>26</v>
      </c>
      <c r="AE37" s="24">
        <f>(I20+I36)-X22-AF35</f>
        <v>0</v>
      </c>
    </row>
    <row r="38" spans="1:37" ht="20.25" customHeight="1" thickBot="1">
      <c r="A38" s="91"/>
      <c r="B38" s="101"/>
      <c r="C38" s="101"/>
      <c r="D38" s="109"/>
      <c r="E38" s="109"/>
      <c r="F38" s="109"/>
      <c r="G38" s="109"/>
      <c r="H38" s="109"/>
      <c r="I38" s="614"/>
      <c r="J38" s="614"/>
      <c r="K38" s="614"/>
      <c r="L38" s="614"/>
      <c r="M38" s="116" t="str">
        <f>IF(O8="por parte da empresa","FGTS: (valor estimado)","")</f>
        <v/>
      </c>
      <c r="N38" s="402"/>
      <c r="O38" s="402"/>
      <c r="P38" s="403"/>
      <c r="Q38" s="404"/>
      <c r="R38" s="407"/>
      <c r="S38" s="646" t="str">
        <f>IF(M38="","",((E12/30)*masc_exp2!L12)*8%)</f>
        <v/>
      </c>
      <c r="T38" s="646"/>
      <c r="U38" s="646"/>
      <c r="V38" s="647"/>
      <c r="W38" s="108"/>
      <c r="X38" s="108"/>
      <c r="Y38" s="108"/>
      <c r="Z38" s="108"/>
      <c r="AA38" s="108"/>
      <c r="AB38" s="107"/>
      <c r="AC38" s="28"/>
    </row>
    <row r="39" spans="1:37" ht="6" customHeight="1">
      <c r="A39" s="91"/>
      <c r="B39" s="101"/>
      <c r="C39" s="101"/>
      <c r="D39" s="109"/>
      <c r="E39" s="109"/>
      <c r="F39" s="109"/>
      <c r="G39" s="109"/>
      <c r="H39" s="109"/>
      <c r="I39" s="112"/>
      <c r="J39" s="112"/>
      <c r="K39" s="112"/>
      <c r="L39" s="112"/>
      <c r="M39" s="109"/>
      <c r="N39" s="109"/>
      <c r="O39" s="109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/>
      <c r="AB39" s="107"/>
      <c r="AC39" s="28"/>
    </row>
    <row r="40" spans="1:37" ht="23.25" customHeight="1">
      <c r="A40" s="91"/>
      <c r="B40" s="645" t="str">
        <f>config!E110</f>
        <v>Os cálculos contidos na planilha são baseados em dados referenciados, porém ainda sim podem estar incorretos. Sendo assim, os mesmos devem ser utilizados apenas como referência.</v>
      </c>
      <c r="C40" s="645"/>
      <c r="D40" s="645"/>
      <c r="E40" s="645"/>
      <c r="F40" s="645"/>
      <c r="G40" s="645"/>
      <c r="H40" s="645"/>
      <c r="I40" s="645"/>
      <c r="J40" s="645"/>
      <c r="K40" s="645"/>
      <c r="L40" s="645"/>
      <c r="M40" s="645"/>
      <c r="N40" s="645"/>
      <c r="O40" s="645"/>
      <c r="P40" s="645"/>
      <c r="Q40" s="645"/>
      <c r="R40" s="645"/>
      <c r="S40" s="645"/>
      <c r="T40" s="645"/>
      <c r="U40" s="645"/>
      <c r="V40" s="645"/>
      <c r="W40" s="645"/>
      <c r="X40" s="645"/>
      <c r="Y40" s="645"/>
      <c r="Z40" s="645"/>
      <c r="AA40" s="645"/>
      <c r="AB40" s="94"/>
      <c r="AC40" s="28"/>
      <c r="AD40" s="4" t="s">
        <v>38</v>
      </c>
      <c r="AE40" s="4" t="s">
        <v>35</v>
      </c>
    </row>
    <row r="41" spans="1:37" ht="6" customHeight="1">
      <c r="A41" s="91"/>
      <c r="B41" s="645"/>
      <c r="C41" s="645"/>
      <c r="D41" s="645"/>
      <c r="E41" s="645"/>
      <c r="F41" s="645"/>
      <c r="G41" s="645"/>
      <c r="H41" s="645"/>
      <c r="I41" s="645"/>
      <c r="J41" s="645"/>
      <c r="K41" s="645"/>
      <c r="L41" s="645"/>
      <c r="M41" s="645"/>
      <c r="N41" s="645"/>
      <c r="O41" s="645"/>
      <c r="P41" s="645"/>
      <c r="Q41" s="645"/>
      <c r="R41" s="645"/>
      <c r="S41" s="645"/>
      <c r="T41" s="645"/>
      <c r="U41" s="645"/>
      <c r="V41" s="645"/>
      <c r="W41" s="645"/>
      <c r="X41" s="645"/>
      <c r="Y41" s="645"/>
      <c r="Z41" s="645"/>
      <c r="AA41" s="645"/>
      <c r="AB41" s="94"/>
      <c r="AC41" s="28"/>
      <c r="AD41" s="4" t="s">
        <v>30</v>
      </c>
      <c r="AE41" s="4" t="s">
        <v>83</v>
      </c>
    </row>
    <row r="42" spans="1:37" ht="18.75" customHeight="1">
      <c r="A42" s="91"/>
      <c r="B42" s="645"/>
      <c r="C42" s="645"/>
      <c r="D42" s="645"/>
      <c r="E42" s="645"/>
      <c r="F42" s="645"/>
      <c r="G42" s="645"/>
      <c r="H42" s="645"/>
      <c r="I42" s="645"/>
      <c r="J42" s="645"/>
      <c r="K42" s="645"/>
      <c r="L42" s="645"/>
      <c r="M42" s="645"/>
      <c r="N42" s="645"/>
      <c r="O42" s="645"/>
      <c r="P42" s="645"/>
      <c r="Q42" s="645"/>
      <c r="R42" s="645"/>
      <c r="S42" s="645"/>
      <c r="T42" s="645"/>
      <c r="U42" s="645"/>
      <c r="V42" s="645"/>
      <c r="W42" s="645"/>
      <c r="X42" s="645"/>
      <c r="Y42" s="645"/>
      <c r="Z42" s="645"/>
      <c r="AA42" s="645"/>
      <c r="AB42" s="94"/>
      <c r="AC42" s="27"/>
      <c r="AD42" s="4" t="s">
        <v>31</v>
      </c>
      <c r="AE42" s="4" t="s">
        <v>84</v>
      </c>
    </row>
    <row r="43" spans="1:37" ht="6" customHeight="1">
      <c r="A43" s="91"/>
      <c r="B43" s="101"/>
      <c r="C43" s="101"/>
      <c r="D43" s="101"/>
      <c r="E43" s="101"/>
      <c r="F43" s="101"/>
      <c r="G43" s="101"/>
      <c r="H43" s="101"/>
      <c r="I43" s="125"/>
      <c r="J43" s="125"/>
      <c r="K43" s="125"/>
      <c r="L43" s="125"/>
      <c r="M43" s="101"/>
      <c r="N43" s="101"/>
      <c r="O43" s="101"/>
      <c r="P43" s="120"/>
      <c r="Q43" s="120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94"/>
      <c r="AC43" s="33"/>
    </row>
    <row r="44" spans="1:37" ht="19.5" customHeight="1">
      <c r="A44" s="91"/>
      <c r="B44" s="108"/>
      <c r="C44" s="108"/>
      <c r="D44" s="108"/>
      <c r="E44" s="108"/>
      <c r="F44" s="108"/>
      <c r="G44" s="108"/>
      <c r="H44" s="108"/>
      <c r="I44" s="108"/>
      <c r="J44" s="108"/>
      <c r="K44" s="108"/>
      <c r="L44" s="108"/>
      <c r="M44" s="126"/>
      <c r="N44" s="107"/>
      <c r="O44" s="107"/>
      <c r="P44" s="107"/>
      <c r="Q44" s="107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15"/>
      <c r="AC44" s="33"/>
      <c r="AD44" s="616" t="s">
        <v>41</v>
      </c>
      <c r="AE44" s="616" t="s">
        <v>40</v>
      </c>
    </row>
    <row r="45" spans="1:37" ht="9.75" customHeight="1">
      <c r="A45" s="91"/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15"/>
      <c r="AC45" s="41"/>
      <c r="AD45" s="616"/>
      <c r="AE45" s="616"/>
      <c r="AF45" s="4" t="s">
        <v>44</v>
      </c>
      <c r="AG45" s="4" t="s">
        <v>45</v>
      </c>
    </row>
    <row r="46" spans="1:37" ht="23.25" customHeight="1">
      <c r="A46" s="127" t="str">
        <f>config!P104</f>
        <v>www.fecomerciarios.org.br</v>
      </c>
      <c r="B46" s="128"/>
      <c r="C46" s="128"/>
      <c r="D46" s="128"/>
      <c r="E46" s="128"/>
      <c r="F46" s="128"/>
      <c r="G46" s="128"/>
      <c r="H46" s="128"/>
      <c r="I46" s="128"/>
      <c r="J46" s="128"/>
      <c r="K46" s="128"/>
      <c r="L46" s="128"/>
      <c r="M46" s="128"/>
      <c r="N46" s="128"/>
      <c r="O46" s="128"/>
      <c r="P46" s="128"/>
      <c r="Q46" s="107"/>
      <c r="R46" s="108"/>
      <c r="S46" s="108"/>
      <c r="T46" s="108"/>
      <c r="U46" s="108"/>
      <c r="V46" s="108"/>
      <c r="W46" s="108"/>
      <c r="X46" s="108"/>
      <c r="Y46" s="108"/>
      <c r="Z46" s="108"/>
      <c r="AA46" s="166" t="str">
        <f>config!G105</f>
        <v>fecomerciarios@fecomerciarios.org.br</v>
      </c>
      <c r="AB46" s="108"/>
      <c r="AC46" s="38"/>
      <c r="AD46" s="25">
        <f>config!F90</f>
        <v>859.88</v>
      </c>
      <c r="AE46" s="26">
        <f>config!I90</f>
        <v>44.09</v>
      </c>
      <c r="AF46" s="4">
        <f>IF(E12&lt;=AD46,Z14*AE46,0)</f>
        <v>0</v>
      </c>
      <c r="AG46" s="16">
        <f>(AF46/30)*F18</f>
        <v>0</v>
      </c>
    </row>
    <row r="47" spans="1:37" ht="6" customHeight="1">
      <c r="A47" s="127"/>
      <c r="B47" s="128"/>
      <c r="C47" s="128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8"/>
      <c r="AC47" s="38"/>
      <c r="AD47" s="25">
        <f>config!F91</f>
        <v>1292.43</v>
      </c>
      <c r="AE47" s="26">
        <f>config!I91</f>
        <v>31.07</v>
      </c>
      <c r="AF47" s="4">
        <f>IF(E12&gt;AD46,IF(E12&lt;=AD47,Z14*AE47,0),0)</f>
        <v>0</v>
      </c>
      <c r="AG47" s="16">
        <f>(AF47/30)*F18</f>
        <v>0</v>
      </c>
    </row>
    <row r="48" spans="1:37" ht="12.75"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25"/>
      <c r="AE48" s="25"/>
    </row>
    <row r="49" spans="1:29" hidden="1"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</row>
    <row r="50" spans="1:29" hidden="1"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</row>
    <row r="51" spans="1:29" ht="15" hidden="1">
      <c r="A51" s="38"/>
      <c r="B51" s="38"/>
      <c r="C51" s="38"/>
      <c r="D51" s="38"/>
      <c r="E51" s="38"/>
      <c r="F51" s="38"/>
      <c r="G51" s="38"/>
      <c r="H51" s="40"/>
      <c r="I51" s="40"/>
      <c r="J51" s="40"/>
      <c r="K51" s="40"/>
      <c r="L51" s="40"/>
      <c r="M51" s="40"/>
      <c r="N51" s="40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</row>
    <row r="52" spans="1:29" hidden="1">
      <c r="A52" s="38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</row>
    <row r="53" spans="1:29" hidden="1">
      <c r="A53" s="38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</row>
    <row r="54" spans="1:29" hidden="1">
      <c r="A54" s="38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</row>
    <row r="55" spans="1:29" hidden="1">
      <c r="A55" s="38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</row>
    <row r="56" spans="1:29" hidden="1">
      <c r="A56" s="38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</row>
    <row r="57" spans="1:29" hidden="1">
      <c r="A57" s="38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</row>
    <row r="58" spans="1:29" hidden="1">
      <c r="AC58" s="38"/>
    </row>
  </sheetData>
  <sheetProtection password="C1FF" sheet="1" objects="1" scenarios="1" selectLockedCells="1" selectUnlockedCells="1"/>
  <mergeCells count="41">
    <mergeCell ref="Z14:AA14"/>
    <mergeCell ref="X26:AA26"/>
    <mergeCell ref="I18:L18"/>
    <mergeCell ref="O8:U8"/>
    <mergeCell ref="G3:AA3"/>
    <mergeCell ref="B5:AA5"/>
    <mergeCell ref="B6:AA6"/>
    <mergeCell ref="E10:I10"/>
    <mergeCell ref="M10:P10"/>
    <mergeCell ref="R10:W10"/>
    <mergeCell ref="F18:G18"/>
    <mergeCell ref="E20:F20"/>
    <mergeCell ref="I20:L20"/>
    <mergeCell ref="X24:AA24"/>
    <mergeCell ref="I22:L22"/>
    <mergeCell ref="R18:AA18"/>
    <mergeCell ref="M20:N20"/>
    <mergeCell ref="AE44:AE45"/>
    <mergeCell ref="S36:V36"/>
    <mergeCell ref="B40:AA42"/>
    <mergeCell ref="I36:L36"/>
    <mergeCell ref="I38:L38"/>
    <mergeCell ref="AD44:AD45"/>
    <mergeCell ref="S38:V38"/>
    <mergeCell ref="X32:AA32"/>
    <mergeCell ref="X10:AA10"/>
    <mergeCell ref="I26:L26"/>
    <mergeCell ref="X28:AA28"/>
    <mergeCell ref="X22:AA22"/>
    <mergeCell ref="W34:AA34"/>
    <mergeCell ref="I28:L28"/>
    <mergeCell ref="H34:L34"/>
    <mergeCell ref="R34:V34"/>
    <mergeCell ref="I24:L24"/>
    <mergeCell ref="X30:AA30"/>
    <mergeCell ref="S11:AA11"/>
    <mergeCell ref="E12:J12"/>
    <mergeCell ref="B14:L14"/>
    <mergeCell ref="M14:N14"/>
    <mergeCell ref="P14:Y14"/>
    <mergeCell ref="X20:AA20"/>
  </mergeCells>
  <conditionalFormatting sqref="I19:L19 I28:L28 I31:L31 I35:K39 L35:L36 L38:L39">
    <cfRule type="cellIs" dxfId="4" priority="8" stopIfTrue="1" operator="notEqual">
      <formula>0</formula>
    </cfRule>
  </conditionalFormatting>
  <conditionalFormatting sqref="M20:N20">
    <cfRule type="cellIs" dxfId="3" priority="7" stopIfTrue="1" operator="notEqual">
      <formula>0</formula>
    </cfRule>
  </conditionalFormatting>
  <conditionalFormatting sqref="X35:AA35 X37:AA37 X20:AA31 I18:L29">
    <cfRule type="cellIs" dxfId="2" priority="6" stopIfTrue="1" operator="notEqual">
      <formula>0</formula>
    </cfRule>
  </conditionalFormatting>
  <conditionalFormatting sqref="E20:F20">
    <cfRule type="cellIs" dxfId="1" priority="2" stopIfTrue="1" operator="notEqual">
      <formula>0</formula>
    </cfRule>
  </conditionalFormatting>
  <conditionalFormatting sqref="X32:AA32">
    <cfRule type="cellIs" dxfId="0" priority="1" stopIfTrue="1" operator="notEqual">
      <formula>0</formula>
    </cfRule>
  </conditionalFormatting>
  <pageMargins left="0.32" right="0.32" top="0.78740157480314965" bottom="0.78740157480314965" header="0.31496062992125984" footer="0.31496062992125984"/>
  <pageSetup paperSize="9" orientation="portrait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>
    <pageSetUpPr fitToPage="1"/>
  </sheetPr>
  <dimension ref="A1:IU138"/>
  <sheetViews>
    <sheetView showGridLines="0" showRowColHeaders="0" showZeros="0" zoomScale="85" zoomScaleNormal="85" workbookViewId="0">
      <selection activeCell="P6" sqref="P6:R6"/>
    </sheetView>
  </sheetViews>
  <sheetFormatPr defaultColWidth="0" defaultRowHeight="15" zeroHeight="1"/>
  <cols>
    <col min="1" max="24" width="4.28515625" style="129" customWidth="1"/>
    <col min="25" max="25" width="5.28515625" style="129" customWidth="1"/>
    <col min="26" max="35" width="4.28515625" style="129" customWidth="1"/>
    <col min="36" max="36" width="9.140625" style="449" hidden="1" customWidth="1"/>
    <col min="37" max="255" width="9.140625" style="129" hidden="1" customWidth="1"/>
    <col min="256" max="16384" width="5.5703125" style="129" hidden="1"/>
  </cols>
  <sheetData>
    <row r="1" spans="4:39">
      <c r="E1" s="693" t="s">
        <v>115</v>
      </c>
      <c r="F1" s="693"/>
      <c r="G1" s="693"/>
      <c r="H1" s="693"/>
    </row>
    <row r="2" spans="4:39"/>
    <row r="3" spans="4:39">
      <c r="E3" s="54" t="s">
        <v>116</v>
      </c>
    </row>
    <row r="4" spans="4:39" ht="15.75" thickBot="1"/>
    <row r="5" spans="4:39" ht="15.75" thickTop="1">
      <c r="D5" s="696"/>
      <c r="E5" s="697"/>
      <c r="F5" s="697"/>
      <c r="G5" s="697"/>
      <c r="H5" s="697"/>
      <c r="I5" s="697"/>
      <c r="J5" s="697"/>
      <c r="K5" s="697"/>
      <c r="L5" s="697"/>
      <c r="M5" s="697"/>
      <c r="N5" s="697"/>
      <c r="O5" s="697"/>
      <c r="P5" s="697"/>
      <c r="Q5" s="132"/>
      <c r="R5" s="132"/>
      <c r="S5" s="132"/>
      <c r="T5" s="133"/>
    </row>
    <row r="6" spans="4:39">
      <c r="D6" s="134"/>
      <c r="E6" s="136" t="s">
        <v>183</v>
      </c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657">
        <v>0.01</v>
      </c>
      <c r="Q6" s="657"/>
      <c r="R6" s="657"/>
      <c r="S6" s="136"/>
      <c r="T6" s="137"/>
    </row>
    <row r="7" spans="4:39" s="349" customFormat="1">
      <c r="D7" s="134"/>
      <c r="E7" s="136"/>
      <c r="F7" s="136"/>
      <c r="G7" s="136"/>
      <c r="H7" s="136"/>
      <c r="I7" s="136"/>
      <c r="J7" s="136"/>
      <c r="K7" s="136"/>
      <c r="L7" s="136"/>
      <c r="M7" s="136"/>
      <c r="N7" s="412"/>
      <c r="O7" s="412"/>
      <c r="P7" s="206"/>
      <c r="Q7" s="206"/>
      <c r="R7" s="206"/>
      <c r="S7" s="206"/>
      <c r="T7" s="413"/>
      <c r="AJ7" s="449"/>
    </row>
    <row r="8" spans="4:39" s="349" customFormat="1">
      <c r="D8" s="134"/>
      <c r="E8" s="136" t="s">
        <v>181</v>
      </c>
      <c r="F8" s="136"/>
      <c r="G8" s="136"/>
      <c r="H8" s="136"/>
      <c r="I8" s="136"/>
      <c r="J8" s="136"/>
      <c r="K8" s="136"/>
      <c r="L8" s="136"/>
      <c r="M8" s="136"/>
      <c r="N8" s="412"/>
      <c r="O8" s="412"/>
      <c r="P8" s="656" t="s">
        <v>126</v>
      </c>
      <c r="Q8" s="656"/>
      <c r="R8" s="656"/>
      <c r="S8" s="136"/>
      <c r="T8" s="137"/>
      <c r="AJ8" s="449"/>
    </row>
    <row r="9" spans="4:39" s="349" customFormat="1">
      <c r="D9" s="134"/>
      <c r="E9" s="136"/>
      <c r="F9" s="136"/>
      <c r="G9" s="136"/>
      <c r="H9" s="136"/>
      <c r="I9" s="136"/>
      <c r="J9" s="136"/>
      <c r="K9" s="136"/>
      <c r="L9" s="206"/>
      <c r="M9" s="206"/>
      <c r="N9" s="412"/>
      <c r="O9" s="412"/>
      <c r="P9" s="206"/>
      <c r="Q9" s="206"/>
      <c r="R9" s="206"/>
      <c r="S9" s="206"/>
      <c r="T9" s="413"/>
      <c r="AJ9" s="449"/>
    </row>
    <row r="10" spans="4:39" s="349" customFormat="1">
      <c r="D10" s="134"/>
      <c r="E10" s="136" t="s">
        <v>182</v>
      </c>
      <c r="F10" s="136"/>
      <c r="G10" s="136"/>
      <c r="H10" s="136"/>
      <c r="I10" s="136"/>
      <c r="J10" s="136"/>
      <c r="K10" s="136"/>
      <c r="L10" s="136"/>
      <c r="M10" s="136"/>
      <c r="N10" s="412"/>
      <c r="O10" s="412"/>
      <c r="P10" s="703">
        <v>0</v>
      </c>
      <c r="Q10" s="703"/>
      <c r="R10" s="703"/>
      <c r="S10" s="136"/>
      <c r="T10" s="137"/>
      <c r="AJ10" s="449"/>
    </row>
    <row r="11" spans="4:39" ht="15.75" thickBot="1">
      <c r="D11" s="698"/>
      <c r="E11" s="699"/>
      <c r="F11" s="699"/>
      <c r="G11" s="699"/>
      <c r="H11" s="699"/>
      <c r="I11" s="699"/>
      <c r="J11" s="699"/>
      <c r="K11" s="699"/>
      <c r="L11" s="699"/>
      <c r="M11" s="699"/>
      <c r="N11" s="699"/>
      <c r="O11" s="699"/>
      <c r="P11" s="699"/>
      <c r="Q11" s="139"/>
      <c r="R11" s="139"/>
      <c r="S11" s="139"/>
      <c r="T11" s="140"/>
    </row>
    <row r="12" spans="4:39" ht="16.5" thickTop="1" thickBot="1"/>
    <row r="13" spans="4:39" s="150" customFormat="1" ht="15.75" thickTop="1">
      <c r="D13" s="131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3"/>
      <c r="AJ13" s="449"/>
    </row>
    <row r="14" spans="4:39" s="150" customFormat="1">
      <c r="D14" s="134"/>
      <c r="E14" s="216" t="s">
        <v>146</v>
      </c>
      <c r="F14" s="216"/>
      <c r="G14" s="216"/>
      <c r="H14" s="216"/>
      <c r="I14" s="216"/>
      <c r="J14" s="216"/>
      <c r="K14" s="217"/>
      <c r="L14" s="217"/>
      <c r="M14" s="217"/>
      <c r="N14" s="217"/>
      <c r="O14" s="217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  <c r="AA14" s="136"/>
      <c r="AB14" s="137"/>
      <c r="AJ14" s="449"/>
    </row>
    <row r="15" spans="4:39" s="150" customFormat="1" ht="15" customHeight="1">
      <c r="D15" s="134"/>
      <c r="E15" s="672" t="s">
        <v>159</v>
      </c>
      <c r="F15" s="672"/>
      <c r="G15" s="672"/>
      <c r="H15" s="672"/>
      <c r="I15" s="672"/>
      <c r="J15" s="672"/>
      <c r="K15" s="672"/>
      <c r="L15" s="672"/>
      <c r="M15" s="672"/>
      <c r="N15" s="672"/>
      <c r="O15" s="672"/>
      <c r="P15" s="672"/>
      <c r="Q15" s="672"/>
      <c r="R15" s="672"/>
      <c r="S15" s="672"/>
      <c r="T15" s="672"/>
      <c r="U15" s="672"/>
      <c r="V15" s="672"/>
      <c r="W15" s="672"/>
      <c r="X15" s="672"/>
      <c r="Y15" s="672"/>
      <c r="Z15" s="136"/>
      <c r="AA15" s="136"/>
      <c r="AB15" s="137"/>
      <c r="AJ15" s="449"/>
    </row>
    <row r="16" spans="4:39" s="150" customFormat="1">
      <c r="D16" s="134"/>
      <c r="E16" s="672"/>
      <c r="F16" s="672"/>
      <c r="G16" s="672"/>
      <c r="H16" s="672"/>
      <c r="I16" s="672"/>
      <c r="J16" s="672"/>
      <c r="K16" s="672"/>
      <c r="L16" s="672"/>
      <c r="M16" s="672"/>
      <c r="N16" s="672"/>
      <c r="O16" s="672"/>
      <c r="P16" s="672"/>
      <c r="Q16" s="672"/>
      <c r="R16" s="672"/>
      <c r="S16" s="672"/>
      <c r="T16" s="672"/>
      <c r="U16" s="672"/>
      <c r="V16" s="672"/>
      <c r="W16" s="672"/>
      <c r="X16" s="672"/>
      <c r="Y16" s="672"/>
      <c r="Z16" s="658" t="s">
        <v>127</v>
      </c>
      <c r="AA16" s="658"/>
      <c r="AB16" s="137"/>
      <c r="AJ16" s="449"/>
      <c r="AM16" s="150" t="s">
        <v>126</v>
      </c>
    </row>
    <row r="17" spans="1:39" s="154" customFormat="1">
      <c r="D17" s="134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1"/>
      <c r="V17" s="201"/>
      <c r="W17" s="202"/>
      <c r="X17" s="202"/>
      <c r="Y17" s="203"/>
      <c r="Z17" s="203"/>
      <c r="AA17" s="203"/>
      <c r="AB17" s="137"/>
      <c r="AJ17" s="449"/>
      <c r="AM17" s="150" t="s">
        <v>127</v>
      </c>
    </row>
    <row r="18" spans="1:39" s="154" customFormat="1">
      <c r="D18" s="134"/>
      <c r="E18" s="204"/>
      <c r="F18" s="204"/>
      <c r="G18" s="204"/>
      <c r="H18" s="204"/>
      <c r="I18" s="204"/>
      <c r="J18" s="204"/>
      <c r="K18" s="204"/>
      <c r="L18" s="204"/>
      <c r="M18" s="204"/>
      <c r="N18" s="204"/>
      <c r="O18" s="204"/>
      <c r="P18" s="204"/>
      <c r="Q18" s="204"/>
      <c r="R18" s="204"/>
      <c r="S18" s="204"/>
      <c r="T18" s="204"/>
      <c r="U18" s="682"/>
      <c r="V18" s="682"/>
      <c r="W18" s="205"/>
      <c r="X18" s="205"/>
      <c r="Y18" s="206"/>
      <c r="Z18" s="206"/>
      <c r="AA18" s="206"/>
      <c r="AB18" s="137"/>
      <c r="AJ18" s="449"/>
    </row>
    <row r="19" spans="1:39" s="154" customFormat="1" ht="18" customHeight="1" thickBot="1">
      <c r="D19" s="134"/>
      <c r="E19" s="691" t="s">
        <v>151</v>
      </c>
      <c r="F19" s="691"/>
      <c r="G19" s="691"/>
      <c r="H19" s="691"/>
      <c r="I19" s="691"/>
      <c r="J19" s="691"/>
      <c r="K19" s="691"/>
      <c r="L19" s="691"/>
      <c r="M19" s="691"/>
      <c r="N19" s="691"/>
      <c r="O19" s="691"/>
      <c r="P19" s="691"/>
      <c r="Q19" s="691"/>
      <c r="R19" s="691"/>
      <c r="S19" s="691"/>
      <c r="T19" s="208"/>
      <c r="U19" s="678" t="s">
        <v>147</v>
      </c>
      <c r="V19" s="678"/>
      <c r="W19" s="678"/>
      <c r="X19" s="678"/>
      <c r="Y19" s="678"/>
      <c r="Z19" s="683" t="s">
        <v>127</v>
      </c>
      <c r="AA19" s="683"/>
      <c r="AB19" s="137"/>
      <c r="AJ19" s="449"/>
    </row>
    <row r="20" spans="1:39" s="154" customFormat="1" ht="16.5" thickTop="1" thickBot="1">
      <c r="D20" s="134"/>
      <c r="E20" s="691"/>
      <c r="F20" s="691"/>
      <c r="G20" s="691"/>
      <c r="H20" s="691"/>
      <c r="I20" s="691"/>
      <c r="J20" s="691"/>
      <c r="K20" s="691"/>
      <c r="L20" s="691"/>
      <c r="M20" s="691"/>
      <c r="N20" s="691"/>
      <c r="O20" s="691"/>
      <c r="P20" s="691"/>
      <c r="Q20" s="691"/>
      <c r="R20" s="691"/>
      <c r="S20" s="691"/>
      <c r="T20" s="208"/>
      <c r="U20" s="678" t="s">
        <v>148</v>
      </c>
      <c r="V20" s="678"/>
      <c r="W20" s="678"/>
      <c r="X20" s="678"/>
      <c r="Y20" s="678"/>
      <c r="Z20" s="677">
        <v>45</v>
      </c>
      <c r="AA20" s="677"/>
      <c r="AB20" s="137"/>
      <c r="AJ20" s="449"/>
    </row>
    <row r="21" spans="1:39" s="215" customFormat="1" ht="15" customHeight="1" thickTop="1" thickBot="1">
      <c r="D21" s="134"/>
      <c r="E21" s="691"/>
      <c r="F21" s="691"/>
      <c r="G21" s="691"/>
      <c r="H21" s="691"/>
      <c r="I21" s="691"/>
      <c r="J21" s="691"/>
      <c r="K21" s="691"/>
      <c r="L21" s="691"/>
      <c r="M21" s="691"/>
      <c r="N21" s="691"/>
      <c r="O21" s="691"/>
      <c r="P21" s="691"/>
      <c r="Q21" s="691"/>
      <c r="R21" s="691"/>
      <c r="S21" s="691"/>
      <c r="T21" s="691" t="s">
        <v>149</v>
      </c>
      <c r="U21" s="691"/>
      <c r="V21" s="691"/>
      <c r="W21" s="691"/>
      <c r="X21" s="691"/>
      <c r="Y21" s="691"/>
      <c r="Z21" s="677">
        <v>20</v>
      </c>
      <c r="AA21" s="677"/>
      <c r="AB21" s="137"/>
      <c r="AJ21" s="449"/>
    </row>
    <row r="22" spans="1:39" s="215" customFormat="1" ht="15" customHeight="1" thickTop="1">
      <c r="D22" s="134"/>
      <c r="E22" s="691"/>
      <c r="F22" s="691"/>
      <c r="G22" s="691"/>
      <c r="H22" s="691"/>
      <c r="I22" s="691"/>
      <c r="J22" s="691"/>
      <c r="K22" s="691"/>
      <c r="L22" s="691"/>
      <c r="M22" s="691"/>
      <c r="N22" s="691"/>
      <c r="O22" s="691"/>
      <c r="P22" s="691"/>
      <c r="Q22" s="691"/>
      <c r="R22" s="691"/>
      <c r="S22" s="691"/>
      <c r="T22" s="678" t="s">
        <v>150</v>
      </c>
      <c r="U22" s="678"/>
      <c r="V22" s="678"/>
      <c r="W22" s="678"/>
      <c r="X22" s="678"/>
      <c r="Y22" s="678"/>
      <c r="Z22" s="679">
        <v>15</v>
      </c>
      <c r="AA22" s="679"/>
      <c r="AB22" s="137"/>
      <c r="AJ22" s="449"/>
    </row>
    <row r="23" spans="1:39" ht="15.75" thickBot="1">
      <c r="A23" s="150"/>
      <c r="B23" s="150"/>
      <c r="C23" s="150"/>
      <c r="D23" s="138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39"/>
      <c r="T23" s="139"/>
      <c r="U23" s="139"/>
      <c r="V23" s="139"/>
      <c r="W23" s="172"/>
      <c r="X23" s="172"/>
      <c r="Y23" s="139"/>
      <c r="Z23" s="139"/>
      <c r="AA23" s="194"/>
      <c r="AB23" s="140"/>
      <c r="AC23" s="150"/>
      <c r="AD23" s="150"/>
      <c r="AE23" s="150"/>
      <c r="AF23" s="150"/>
      <c r="AG23" s="150"/>
      <c r="AH23" s="150"/>
    </row>
    <row r="24" spans="1:39" s="234" customFormat="1" ht="16.5" thickTop="1" thickBot="1">
      <c r="D24" s="136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136"/>
      <c r="T24" s="136"/>
      <c r="U24" s="136"/>
      <c r="V24" s="136"/>
      <c r="W24" s="208"/>
      <c r="X24" s="208"/>
      <c r="Y24" s="136"/>
      <c r="Z24" s="136"/>
      <c r="AA24" s="136"/>
      <c r="AB24" s="136"/>
      <c r="AJ24" s="449"/>
    </row>
    <row r="25" spans="1:39" s="234" customFormat="1" ht="16.5" thickTop="1" thickBot="1">
      <c r="D25" s="131"/>
      <c r="E25" s="237"/>
      <c r="F25" s="237"/>
      <c r="G25" s="237"/>
      <c r="H25" s="237"/>
      <c r="I25" s="237"/>
      <c r="J25" s="237"/>
      <c r="K25" s="237"/>
      <c r="L25" s="237"/>
      <c r="M25" s="237"/>
      <c r="N25" s="239"/>
      <c r="O25" s="235"/>
      <c r="P25" s="235"/>
      <c r="Q25" s="235"/>
      <c r="R25" s="235"/>
      <c r="S25" s="136"/>
      <c r="T25" s="136"/>
      <c r="U25" s="136"/>
      <c r="V25" s="136"/>
      <c r="W25" s="208"/>
      <c r="X25" s="208"/>
      <c r="Y25" s="136"/>
      <c r="Z25" s="136"/>
      <c r="AA25" s="136"/>
      <c r="AB25" s="136"/>
      <c r="AJ25" s="449"/>
    </row>
    <row r="26" spans="1:39" s="234" customFormat="1" ht="60.75" customHeight="1">
      <c r="D26" s="134"/>
      <c r="E26" s="702" t="s">
        <v>170</v>
      </c>
      <c r="F26" s="702"/>
      <c r="G26" s="702"/>
      <c r="H26" s="702"/>
      <c r="I26" s="702"/>
      <c r="J26" s="702"/>
      <c r="K26" s="702"/>
      <c r="L26" s="702"/>
      <c r="M26" s="238"/>
      <c r="N26" s="240"/>
      <c r="O26" s="238"/>
      <c r="P26" s="238"/>
      <c r="Q26" s="238"/>
      <c r="R26" s="208"/>
      <c r="S26" s="208"/>
      <c r="T26" s="706" t="s">
        <v>232</v>
      </c>
      <c r="U26" s="707"/>
      <c r="V26" s="707"/>
      <c r="W26" s="707"/>
      <c r="X26" s="707"/>
      <c r="Y26" s="707"/>
      <c r="Z26" s="707"/>
      <c r="AA26" s="707"/>
      <c r="AB26" s="707"/>
      <c r="AC26" s="707"/>
      <c r="AD26" s="707"/>
      <c r="AE26" s="707"/>
      <c r="AF26" s="707"/>
      <c r="AG26" s="707"/>
      <c r="AH26" s="707"/>
      <c r="AI26" s="708"/>
      <c r="AJ26" s="449"/>
    </row>
    <row r="27" spans="1:39" s="442" customFormat="1" ht="9.75" customHeight="1">
      <c r="D27" s="134"/>
      <c r="E27" s="448"/>
      <c r="F27" s="448"/>
      <c r="G27" s="448"/>
      <c r="H27" s="448"/>
      <c r="I27" s="448"/>
      <c r="J27" s="448"/>
      <c r="K27" s="448"/>
      <c r="L27" s="448"/>
      <c r="M27" s="238"/>
      <c r="N27" s="240"/>
      <c r="O27" s="238"/>
      <c r="P27" s="238"/>
      <c r="Q27" s="238"/>
      <c r="R27" s="208"/>
      <c r="S27" s="208"/>
      <c r="T27" s="704"/>
      <c r="U27" s="691"/>
      <c r="V27" s="691"/>
      <c r="W27" s="691"/>
      <c r="X27" s="691"/>
      <c r="Y27" s="691"/>
      <c r="Z27" s="691"/>
      <c r="AA27" s="691"/>
      <c r="AB27" s="691"/>
      <c r="AC27" s="691"/>
      <c r="AD27" s="691"/>
      <c r="AE27" s="691"/>
      <c r="AF27" s="691"/>
      <c r="AG27" s="691"/>
      <c r="AH27" s="691"/>
      <c r="AI27" s="705"/>
      <c r="AJ27" s="449"/>
    </row>
    <row r="28" spans="1:39" s="442" customFormat="1" ht="16.5" customHeight="1">
      <c r="D28" s="134"/>
      <c r="E28" s="712" t="s">
        <v>208</v>
      </c>
      <c r="F28" s="712"/>
      <c r="G28" s="712"/>
      <c r="H28" s="713" t="s">
        <v>210</v>
      </c>
      <c r="I28" s="713"/>
      <c r="J28" s="713"/>
      <c r="K28" s="713"/>
      <c r="L28" s="713"/>
      <c r="M28" s="238"/>
      <c r="N28" s="240"/>
      <c r="O28" s="238"/>
      <c r="P28" s="238"/>
      <c r="Q28" s="238"/>
      <c r="R28" s="208"/>
      <c r="S28" s="208"/>
      <c r="T28" s="704"/>
      <c r="U28" s="691"/>
      <c r="V28" s="691"/>
      <c r="W28" s="691"/>
      <c r="X28" s="691"/>
      <c r="Y28" s="691"/>
      <c r="Z28" s="691"/>
      <c r="AA28" s="691"/>
      <c r="AB28" s="691"/>
      <c r="AC28" s="691"/>
      <c r="AD28" s="691"/>
      <c r="AE28" s="691"/>
      <c r="AF28" s="691"/>
      <c r="AG28" s="691"/>
      <c r="AH28" s="691"/>
      <c r="AI28" s="705"/>
      <c r="AJ28" s="449"/>
      <c r="AK28" s="442" t="s">
        <v>205</v>
      </c>
    </row>
    <row r="29" spans="1:39" s="234" customFormat="1" ht="8.25" customHeight="1">
      <c r="D29" s="134"/>
      <c r="E29" s="235"/>
      <c r="F29" s="235"/>
      <c r="G29" s="235"/>
      <c r="H29" s="235"/>
      <c r="I29" s="235"/>
      <c r="J29" s="235"/>
      <c r="K29" s="235"/>
      <c r="L29" s="235"/>
      <c r="M29" s="235"/>
      <c r="N29" s="239"/>
      <c r="O29" s="235"/>
      <c r="P29" s="235"/>
      <c r="Q29" s="235"/>
      <c r="R29" s="235"/>
      <c r="S29" s="136"/>
      <c r="T29" s="493"/>
      <c r="U29" s="136"/>
      <c r="V29" s="136"/>
      <c r="W29" s="208"/>
      <c r="X29" s="208"/>
      <c r="Y29" s="136"/>
      <c r="Z29" s="136"/>
      <c r="AA29" s="136"/>
      <c r="AB29" s="136"/>
      <c r="AC29" s="136"/>
      <c r="AD29" s="136"/>
      <c r="AE29" s="136"/>
      <c r="AF29" s="136"/>
      <c r="AG29" s="136"/>
      <c r="AH29" s="136"/>
      <c r="AI29" s="494"/>
      <c r="AJ29" s="449"/>
      <c r="AK29" s="442" t="s">
        <v>209</v>
      </c>
    </row>
    <row r="30" spans="1:39" s="234" customFormat="1" ht="33.75" customHeight="1">
      <c r="D30" s="134"/>
      <c r="E30" s="701" t="s">
        <v>171</v>
      </c>
      <c r="F30" s="701"/>
      <c r="G30" s="701"/>
      <c r="H30" s="701"/>
      <c r="I30" s="700" t="s">
        <v>172</v>
      </c>
      <c r="J30" s="701"/>
      <c r="K30" s="701"/>
      <c r="L30" s="701"/>
      <c r="N30" s="134"/>
      <c r="O30" s="136"/>
      <c r="P30" s="136"/>
      <c r="Q30" s="238"/>
      <c r="R30" s="235"/>
      <c r="S30" s="136"/>
      <c r="T30" s="495"/>
      <c r="U30" s="208"/>
      <c r="V30" s="208"/>
      <c r="W30" s="208"/>
      <c r="X30" s="208"/>
      <c r="Y30" s="208"/>
      <c r="Z30" s="208"/>
      <c r="AA30" s="208"/>
      <c r="AB30" s="208"/>
      <c r="AC30" s="208"/>
      <c r="AD30" s="208"/>
      <c r="AE30" s="208"/>
      <c r="AF30" s="208"/>
      <c r="AG30" s="136"/>
      <c r="AH30" s="136"/>
      <c r="AI30" s="494"/>
      <c r="AJ30" s="449"/>
      <c r="AK30" s="442" t="s">
        <v>210</v>
      </c>
    </row>
    <row r="31" spans="1:39" s="234" customFormat="1" ht="16.5" customHeight="1">
      <c r="D31" s="134"/>
      <c r="E31" s="692">
        <v>0</v>
      </c>
      <c r="F31" s="692"/>
      <c r="G31" s="692"/>
      <c r="H31" s="709"/>
      <c r="I31" s="714">
        <v>30</v>
      </c>
      <c r="J31" s="715"/>
      <c r="K31" s="715"/>
      <c r="L31" s="715"/>
      <c r="M31" s="447">
        <f>E31</f>
        <v>0</v>
      </c>
      <c r="N31" s="134"/>
      <c r="O31" s="136"/>
      <c r="P31" s="136"/>
      <c r="Q31" s="235"/>
      <c r="R31" s="235"/>
      <c r="S31" s="136"/>
      <c r="T31" s="496"/>
      <c r="U31" s="482"/>
      <c r="V31" s="482"/>
      <c r="W31" s="482"/>
      <c r="X31" s="482"/>
      <c r="Y31" s="482"/>
      <c r="Z31" s="482"/>
      <c r="AA31" s="208"/>
      <c r="AB31" s="481"/>
      <c r="AC31" s="481"/>
      <c r="AD31" s="481"/>
      <c r="AE31" s="481"/>
      <c r="AF31" s="481"/>
      <c r="AG31" s="136"/>
      <c r="AH31" s="136"/>
      <c r="AI31" s="494"/>
      <c r="AJ31" s="449"/>
    </row>
    <row r="32" spans="1:39" s="234" customFormat="1">
      <c r="D32" s="134"/>
      <c r="E32" s="692">
        <v>1</v>
      </c>
      <c r="F32" s="692"/>
      <c r="G32" s="692"/>
      <c r="H32" s="692"/>
      <c r="I32" s="714">
        <v>33</v>
      </c>
      <c r="J32" s="715"/>
      <c r="K32" s="715"/>
      <c r="L32" s="715"/>
      <c r="M32" s="447">
        <f t="shared" ref="M32:M52" si="0">E32</f>
        <v>1</v>
      </c>
      <c r="N32" s="134"/>
      <c r="O32" s="136"/>
      <c r="P32" s="136"/>
      <c r="Q32" s="235"/>
      <c r="R32" s="235"/>
      <c r="S32" s="136"/>
      <c r="T32" s="496"/>
      <c r="U32" s="481"/>
      <c r="V32" s="481"/>
      <c r="W32" s="481"/>
      <c r="X32" s="481"/>
      <c r="Y32" s="481"/>
      <c r="Z32" s="481"/>
      <c r="AA32" s="481"/>
      <c r="AB32" s="481"/>
      <c r="AC32" s="481"/>
      <c r="AD32" s="481"/>
      <c r="AE32" s="481"/>
      <c r="AF32" s="481"/>
      <c r="AG32" s="136"/>
      <c r="AH32" s="136"/>
      <c r="AI32" s="494"/>
      <c r="AJ32" s="449"/>
    </row>
    <row r="33" spans="4:36" s="234" customFormat="1">
      <c r="D33" s="134"/>
      <c r="E33" s="692">
        <v>2</v>
      </c>
      <c r="F33" s="692"/>
      <c r="G33" s="692"/>
      <c r="H33" s="692"/>
      <c r="I33" s="714">
        <v>36</v>
      </c>
      <c r="J33" s="715"/>
      <c r="K33" s="715"/>
      <c r="L33" s="715"/>
      <c r="M33" s="447">
        <f t="shared" si="0"/>
        <v>2</v>
      </c>
      <c r="N33" s="134"/>
      <c r="O33" s="136"/>
      <c r="P33" s="136"/>
      <c r="Q33" s="235"/>
      <c r="R33" s="235"/>
      <c r="S33" s="136"/>
      <c r="T33" s="496"/>
      <c r="U33" s="481"/>
      <c r="V33" s="481"/>
      <c r="W33" s="481"/>
      <c r="X33" s="481"/>
      <c r="Y33" s="481"/>
      <c r="Z33" s="481"/>
      <c r="AA33" s="481"/>
      <c r="AB33" s="481"/>
      <c r="AC33" s="481"/>
      <c r="AD33" s="481"/>
      <c r="AE33" s="481"/>
      <c r="AF33" s="481"/>
      <c r="AG33" s="136"/>
      <c r="AH33" s="136"/>
      <c r="AI33" s="494"/>
      <c r="AJ33" s="449"/>
    </row>
    <row r="34" spans="4:36" s="234" customFormat="1">
      <c r="D34" s="134"/>
      <c r="E34" s="692">
        <v>3</v>
      </c>
      <c r="F34" s="692"/>
      <c r="G34" s="692"/>
      <c r="H34" s="692"/>
      <c r="I34" s="669">
        <f>IF((I33-I32)+(I33)&lt;90,(I33-I32)+(I33),90)</f>
        <v>39</v>
      </c>
      <c r="J34" s="670"/>
      <c r="K34" s="670"/>
      <c r="L34" s="670"/>
      <c r="M34" s="447">
        <f t="shared" si="0"/>
        <v>3</v>
      </c>
      <c r="N34" s="134"/>
      <c r="O34" s="136"/>
      <c r="P34" s="136"/>
      <c r="Q34" s="235"/>
      <c r="R34" s="235"/>
      <c r="S34" s="136"/>
      <c r="T34" s="496"/>
      <c r="U34" s="481"/>
      <c r="V34" s="481"/>
      <c r="W34" s="481"/>
      <c r="X34" s="481"/>
      <c r="Y34" s="481"/>
      <c r="Z34" s="481"/>
      <c r="AA34" s="481"/>
      <c r="AB34" s="481"/>
      <c r="AC34" s="481"/>
      <c r="AD34" s="481"/>
      <c r="AE34" s="481"/>
      <c r="AF34" s="481"/>
      <c r="AG34" s="136"/>
      <c r="AH34" s="136"/>
      <c r="AI34" s="494"/>
      <c r="AJ34" s="449"/>
    </row>
    <row r="35" spans="4:36" s="234" customFormat="1">
      <c r="D35" s="134"/>
      <c r="E35" s="692">
        <v>4</v>
      </c>
      <c r="F35" s="692"/>
      <c r="G35" s="692"/>
      <c r="H35" s="692"/>
      <c r="I35" s="669">
        <f t="shared" ref="I35:I52" si="1">IF((I34-I33)+(I34)&lt;90,(I34-I33)+(I34),90)</f>
        <v>42</v>
      </c>
      <c r="J35" s="670"/>
      <c r="K35" s="670"/>
      <c r="L35" s="670"/>
      <c r="M35" s="447">
        <f t="shared" si="0"/>
        <v>4</v>
      </c>
      <c r="N35" s="134"/>
      <c r="O35" s="136"/>
      <c r="P35" s="136"/>
      <c r="Q35" s="235"/>
      <c r="R35" s="235"/>
      <c r="S35" s="136"/>
      <c r="T35" s="496"/>
      <c r="U35" s="481"/>
      <c r="V35" s="481"/>
      <c r="W35" s="481"/>
      <c r="X35" s="481"/>
      <c r="Y35" s="481"/>
      <c r="Z35" s="481"/>
      <c r="AA35" s="481"/>
      <c r="AB35" s="481"/>
      <c r="AC35" s="481"/>
      <c r="AD35" s="481"/>
      <c r="AE35" s="481"/>
      <c r="AF35" s="481"/>
      <c r="AG35" s="136"/>
      <c r="AH35" s="136"/>
      <c r="AI35" s="494"/>
      <c r="AJ35" s="449"/>
    </row>
    <row r="36" spans="4:36" s="234" customFormat="1">
      <c r="D36" s="134"/>
      <c r="E36" s="692">
        <v>5</v>
      </c>
      <c r="F36" s="692"/>
      <c r="G36" s="692"/>
      <c r="H36" s="692"/>
      <c r="I36" s="669">
        <f t="shared" si="1"/>
        <v>45</v>
      </c>
      <c r="J36" s="670"/>
      <c r="K36" s="670"/>
      <c r="L36" s="670"/>
      <c r="M36" s="447">
        <f t="shared" si="0"/>
        <v>5</v>
      </c>
      <c r="N36" s="134"/>
      <c r="O36" s="136"/>
      <c r="P36" s="136"/>
      <c r="Q36" s="235"/>
      <c r="R36" s="235"/>
      <c r="S36" s="136"/>
      <c r="T36" s="496"/>
      <c r="U36" s="481"/>
      <c r="V36" s="481"/>
      <c r="W36" s="481"/>
      <c r="X36" s="481"/>
      <c r="Y36" s="481"/>
      <c r="Z36" s="481"/>
      <c r="AA36" s="481"/>
      <c r="AB36" s="481"/>
      <c r="AC36" s="481"/>
      <c r="AD36" s="481"/>
      <c r="AE36" s="481"/>
      <c r="AF36" s="481"/>
      <c r="AG36" s="136"/>
      <c r="AH36" s="136"/>
      <c r="AI36" s="494"/>
      <c r="AJ36" s="449"/>
    </row>
    <row r="37" spans="4:36" s="234" customFormat="1">
      <c r="D37" s="134"/>
      <c r="E37" s="692">
        <v>6</v>
      </c>
      <c r="F37" s="692"/>
      <c r="G37" s="692"/>
      <c r="H37" s="692"/>
      <c r="I37" s="669">
        <f t="shared" si="1"/>
        <v>48</v>
      </c>
      <c r="J37" s="670"/>
      <c r="K37" s="670"/>
      <c r="L37" s="670"/>
      <c r="M37" s="447">
        <f t="shared" si="0"/>
        <v>6</v>
      </c>
      <c r="N37" s="134"/>
      <c r="O37" s="136"/>
      <c r="P37" s="136"/>
      <c r="Q37" s="235"/>
      <c r="R37" s="446"/>
      <c r="S37" s="446"/>
      <c r="T37" s="496"/>
      <c r="U37" s="481"/>
      <c r="V37" s="481"/>
      <c r="W37" s="481"/>
      <c r="X37" s="481"/>
      <c r="Y37" s="481"/>
      <c r="Z37" s="481"/>
      <c r="AA37" s="481"/>
      <c r="AB37" s="481"/>
      <c r="AC37" s="481"/>
      <c r="AD37" s="481"/>
      <c r="AE37" s="481"/>
      <c r="AF37" s="481"/>
      <c r="AG37" s="136"/>
      <c r="AH37" s="136"/>
      <c r="AI37" s="494"/>
      <c r="AJ37" s="449"/>
    </row>
    <row r="38" spans="4:36" s="234" customFormat="1">
      <c r="D38" s="134"/>
      <c r="E38" s="692">
        <v>7</v>
      </c>
      <c r="F38" s="692"/>
      <c r="G38" s="692"/>
      <c r="H38" s="692"/>
      <c r="I38" s="669">
        <f t="shared" si="1"/>
        <v>51</v>
      </c>
      <c r="J38" s="670"/>
      <c r="K38" s="670"/>
      <c r="L38" s="670"/>
      <c r="M38" s="447">
        <f t="shared" si="0"/>
        <v>7</v>
      </c>
      <c r="N38" s="134"/>
      <c r="O38" s="136"/>
      <c r="P38" s="136"/>
      <c r="Q38" s="235"/>
      <c r="R38" s="235"/>
      <c r="S38" s="136"/>
      <c r="T38" s="496"/>
      <c r="U38" s="481"/>
      <c r="V38" s="481"/>
      <c r="W38" s="481"/>
      <c r="X38" s="481"/>
      <c r="Y38" s="481"/>
      <c r="Z38" s="481"/>
      <c r="AA38" s="481"/>
      <c r="AB38" s="481"/>
      <c r="AC38" s="481"/>
      <c r="AD38" s="481"/>
      <c r="AE38" s="481"/>
      <c r="AF38" s="481"/>
      <c r="AG38" s="136"/>
      <c r="AH38" s="136"/>
      <c r="AI38" s="494"/>
      <c r="AJ38" s="449"/>
    </row>
    <row r="39" spans="4:36" s="234" customFormat="1">
      <c r="D39" s="134"/>
      <c r="E39" s="692">
        <v>8</v>
      </c>
      <c r="F39" s="692"/>
      <c r="G39" s="692"/>
      <c r="H39" s="692"/>
      <c r="I39" s="669">
        <f t="shared" si="1"/>
        <v>54</v>
      </c>
      <c r="J39" s="670"/>
      <c r="K39" s="670"/>
      <c r="L39" s="670"/>
      <c r="M39" s="447">
        <f t="shared" si="0"/>
        <v>8</v>
      </c>
      <c r="N39" s="134"/>
      <c r="O39" s="136"/>
      <c r="P39" s="136"/>
      <c r="Q39" s="235"/>
      <c r="R39" s="235"/>
      <c r="S39" s="136"/>
      <c r="T39" s="496"/>
      <c r="U39" s="481"/>
      <c r="V39" s="481"/>
      <c r="W39" s="481"/>
      <c r="X39" s="481"/>
      <c r="Y39" s="481"/>
      <c r="Z39" s="481"/>
      <c r="AA39" s="481"/>
      <c r="AB39" s="481"/>
      <c r="AC39" s="481"/>
      <c r="AD39" s="481"/>
      <c r="AE39" s="481"/>
      <c r="AF39" s="481"/>
      <c r="AG39" s="136"/>
      <c r="AH39" s="136"/>
      <c r="AI39" s="494"/>
      <c r="AJ39" s="449"/>
    </row>
    <row r="40" spans="4:36" s="234" customFormat="1">
      <c r="D40" s="134"/>
      <c r="E40" s="692">
        <v>9</v>
      </c>
      <c r="F40" s="692"/>
      <c r="G40" s="692"/>
      <c r="H40" s="692"/>
      <c r="I40" s="669">
        <f t="shared" si="1"/>
        <v>57</v>
      </c>
      <c r="J40" s="670"/>
      <c r="K40" s="670"/>
      <c r="L40" s="670"/>
      <c r="M40" s="447">
        <f t="shared" si="0"/>
        <v>9</v>
      </c>
      <c r="N40" s="134"/>
      <c r="O40" s="136"/>
      <c r="P40" s="136"/>
      <c r="Q40" s="235"/>
      <c r="R40" s="235"/>
      <c r="S40" s="136"/>
      <c r="T40" s="496"/>
      <c r="U40" s="481"/>
      <c r="V40" s="481"/>
      <c r="W40" s="481"/>
      <c r="X40" s="481"/>
      <c r="Y40" s="481"/>
      <c r="Z40" s="481"/>
      <c r="AA40" s="481"/>
      <c r="AB40" s="481"/>
      <c r="AC40" s="481"/>
      <c r="AD40" s="481"/>
      <c r="AE40" s="481"/>
      <c r="AF40" s="481"/>
      <c r="AG40" s="136"/>
      <c r="AH40" s="136"/>
      <c r="AI40" s="494"/>
      <c r="AJ40" s="449"/>
    </row>
    <row r="41" spans="4:36" s="234" customFormat="1">
      <c r="D41" s="134"/>
      <c r="E41" s="692">
        <v>10</v>
      </c>
      <c r="F41" s="692"/>
      <c r="G41" s="692"/>
      <c r="H41" s="692"/>
      <c r="I41" s="669">
        <f t="shared" si="1"/>
        <v>60</v>
      </c>
      <c r="J41" s="670"/>
      <c r="K41" s="670"/>
      <c r="L41" s="670"/>
      <c r="M41" s="447">
        <f t="shared" si="0"/>
        <v>10</v>
      </c>
      <c r="N41" s="134"/>
      <c r="O41" s="136"/>
      <c r="P41" s="136"/>
      <c r="Q41" s="235"/>
      <c r="R41" s="235"/>
      <c r="S41" s="136"/>
      <c r="T41" s="496"/>
      <c r="U41" s="481"/>
      <c r="V41" s="481"/>
      <c r="W41" s="481"/>
      <c r="X41" s="481"/>
      <c r="Y41" s="481"/>
      <c r="Z41" s="481"/>
      <c r="AA41" s="481"/>
      <c r="AB41" s="481"/>
      <c r="AC41" s="481"/>
      <c r="AD41" s="481"/>
      <c r="AE41" s="481"/>
      <c r="AF41" s="481"/>
      <c r="AG41" s="136"/>
      <c r="AH41" s="136"/>
      <c r="AI41" s="494"/>
      <c r="AJ41" s="449"/>
    </row>
    <row r="42" spans="4:36" s="234" customFormat="1">
      <c r="D42" s="134"/>
      <c r="E42" s="692">
        <v>11</v>
      </c>
      <c r="F42" s="692"/>
      <c r="G42" s="692"/>
      <c r="H42" s="692"/>
      <c r="I42" s="669">
        <f t="shared" si="1"/>
        <v>63</v>
      </c>
      <c r="J42" s="670"/>
      <c r="K42" s="670"/>
      <c r="L42" s="670"/>
      <c r="M42" s="447">
        <f t="shared" si="0"/>
        <v>11</v>
      </c>
      <c r="N42" s="134"/>
      <c r="O42" s="136"/>
      <c r="P42" s="136"/>
      <c r="Q42" s="235"/>
      <c r="R42" s="235"/>
      <c r="S42" s="136"/>
      <c r="T42" s="496"/>
      <c r="U42" s="481"/>
      <c r="V42" s="481"/>
      <c r="W42" s="481"/>
      <c r="X42" s="481"/>
      <c r="Y42" s="481"/>
      <c r="Z42" s="481"/>
      <c r="AA42" s="481"/>
      <c r="AB42" s="481"/>
      <c r="AC42" s="481"/>
      <c r="AD42" s="481"/>
      <c r="AE42" s="481"/>
      <c r="AF42" s="481"/>
      <c r="AG42" s="136"/>
      <c r="AH42" s="136"/>
      <c r="AI42" s="494"/>
      <c r="AJ42" s="449"/>
    </row>
    <row r="43" spans="4:36" s="234" customFormat="1">
      <c r="D43" s="134"/>
      <c r="E43" s="692">
        <v>12</v>
      </c>
      <c r="F43" s="692"/>
      <c r="G43" s="692"/>
      <c r="H43" s="692"/>
      <c r="I43" s="669">
        <f t="shared" si="1"/>
        <v>66</v>
      </c>
      <c r="J43" s="670"/>
      <c r="K43" s="670"/>
      <c r="L43" s="670"/>
      <c r="M43" s="447">
        <f t="shared" si="0"/>
        <v>12</v>
      </c>
      <c r="N43" s="134"/>
      <c r="O43" s="136"/>
      <c r="P43" s="136"/>
      <c r="Q43" s="235"/>
      <c r="R43" s="235"/>
      <c r="S43" s="136"/>
      <c r="T43" s="496"/>
      <c r="U43" s="481"/>
      <c r="V43" s="481"/>
      <c r="W43" s="481"/>
      <c r="X43" s="481"/>
      <c r="Y43" s="481"/>
      <c r="Z43" s="481"/>
      <c r="AA43" s="481"/>
      <c r="AB43" s="481"/>
      <c r="AC43" s="481"/>
      <c r="AD43" s="481"/>
      <c r="AE43" s="481"/>
      <c r="AF43" s="481"/>
      <c r="AG43" s="136"/>
      <c r="AH43" s="136"/>
      <c r="AI43" s="494"/>
      <c r="AJ43" s="449"/>
    </row>
    <row r="44" spans="4:36" s="234" customFormat="1">
      <c r="D44" s="134"/>
      <c r="E44" s="692">
        <v>13</v>
      </c>
      <c r="F44" s="692"/>
      <c r="G44" s="692"/>
      <c r="H44" s="692"/>
      <c r="I44" s="669">
        <f t="shared" si="1"/>
        <v>69</v>
      </c>
      <c r="J44" s="670"/>
      <c r="K44" s="670"/>
      <c r="L44" s="670"/>
      <c r="M44" s="447">
        <f t="shared" si="0"/>
        <v>13</v>
      </c>
      <c r="N44" s="134"/>
      <c r="P44" s="136"/>
      <c r="Q44" s="235"/>
      <c r="R44" s="235"/>
      <c r="S44" s="136"/>
      <c r="T44" s="493"/>
      <c r="U44" s="136"/>
      <c r="V44" s="136"/>
      <c r="W44" s="208"/>
      <c r="X44" s="208"/>
      <c r="Y44" s="136"/>
      <c r="Z44" s="136"/>
      <c r="AA44" s="136"/>
      <c r="AB44" s="136"/>
      <c r="AC44" s="136"/>
      <c r="AD44" s="136"/>
      <c r="AE44" s="136"/>
      <c r="AF44" s="136"/>
      <c r="AG44" s="136"/>
      <c r="AH44" s="136"/>
      <c r="AI44" s="494"/>
      <c r="AJ44" s="449"/>
    </row>
    <row r="45" spans="4:36" s="234" customFormat="1" ht="15.75" thickBot="1">
      <c r="D45" s="134"/>
      <c r="E45" s="692">
        <v>14</v>
      </c>
      <c r="F45" s="692"/>
      <c r="G45" s="692"/>
      <c r="H45" s="692"/>
      <c r="I45" s="669">
        <f t="shared" si="1"/>
        <v>72</v>
      </c>
      <c r="J45" s="670"/>
      <c r="K45" s="670"/>
      <c r="L45" s="670"/>
      <c r="M45" s="447">
        <f t="shared" si="0"/>
        <v>14</v>
      </c>
      <c r="N45" s="134"/>
      <c r="O45" s="136"/>
      <c r="P45" s="136"/>
      <c r="Q45" s="235"/>
      <c r="R45" s="235"/>
      <c r="S45" s="136"/>
      <c r="T45" s="497"/>
      <c r="U45" s="498"/>
      <c r="V45" s="498"/>
      <c r="W45" s="499"/>
      <c r="X45" s="499"/>
      <c r="Y45" s="498"/>
      <c r="Z45" s="498"/>
      <c r="AA45" s="498"/>
      <c r="AB45" s="498"/>
      <c r="AC45" s="498"/>
      <c r="AD45" s="498"/>
      <c r="AE45" s="498"/>
      <c r="AF45" s="498"/>
      <c r="AG45" s="498"/>
      <c r="AH45" s="498"/>
      <c r="AI45" s="500"/>
      <c r="AJ45" s="449"/>
    </row>
    <row r="46" spans="4:36" s="234" customFormat="1">
      <c r="D46" s="134"/>
      <c r="E46" s="692">
        <v>15</v>
      </c>
      <c r="F46" s="692"/>
      <c r="G46" s="692"/>
      <c r="H46" s="692"/>
      <c r="I46" s="669">
        <f t="shared" si="1"/>
        <v>75</v>
      </c>
      <c r="J46" s="670"/>
      <c r="K46" s="670"/>
      <c r="L46" s="670"/>
      <c r="M46" s="447">
        <f t="shared" si="0"/>
        <v>15</v>
      </c>
      <c r="N46" s="134"/>
      <c r="O46" s="136"/>
      <c r="P46" s="136"/>
      <c r="Q46" s="235"/>
      <c r="R46" s="235"/>
      <c r="S46" s="136"/>
      <c r="T46" s="136"/>
      <c r="U46" s="136"/>
      <c r="V46" s="136"/>
      <c r="W46" s="208"/>
      <c r="X46" s="208"/>
      <c r="Y46" s="136"/>
      <c r="Z46" s="136"/>
      <c r="AA46" s="136"/>
      <c r="AB46" s="136"/>
      <c r="AJ46" s="449"/>
    </row>
    <row r="47" spans="4:36" s="234" customFormat="1">
      <c r="D47" s="134"/>
      <c r="E47" s="692">
        <v>16</v>
      </c>
      <c r="F47" s="692"/>
      <c r="G47" s="692"/>
      <c r="H47" s="692"/>
      <c r="I47" s="669">
        <f t="shared" si="1"/>
        <v>78</v>
      </c>
      <c r="J47" s="670"/>
      <c r="K47" s="670"/>
      <c r="L47" s="670"/>
      <c r="M47" s="447">
        <f t="shared" si="0"/>
        <v>16</v>
      </c>
      <c r="N47" s="134"/>
      <c r="O47" s="136"/>
      <c r="P47" s="136"/>
      <c r="Q47" s="235"/>
      <c r="R47" s="235"/>
      <c r="S47" s="136"/>
      <c r="T47" s="136"/>
      <c r="U47" s="136"/>
      <c r="V47" s="136"/>
      <c r="W47" s="208"/>
      <c r="X47" s="208"/>
      <c r="Y47" s="136"/>
      <c r="Z47" s="136"/>
      <c r="AA47" s="136"/>
      <c r="AB47" s="136"/>
      <c r="AJ47" s="449"/>
    </row>
    <row r="48" spans="4:36" s="234" customFormat="1">
      <c r="D48" s="134"/>
      <c r="E48" s="692">
        <v>17</v>
      </c>
      <c r="F48" s="692"/>
      <c r="G48" s="692"/>
      <c r="H48" s="692"/>
      <c r="I48" s="669">
        <f t="shared" si="1"/>
        <v>81</v>
      </c>
      <c r="J48" s="670"/>
      <c r="K48" s="670"/>
      <c r="L48" s="670"/>
      <c r="M48" s="447">
        <f t="shared" si="0"/>
        <v>17</v>
      </c>
      <c r="N48" s="134"/>
      <c r="O48" s="136"/>
      <c r="P48" s="136"/>
      <c r="Q48" s="235"/>
      <c r="R48" s="235"/>
      <c r="S48" s="136"/>
      <c r="T48" s="136"/>
      <c r="U48" s="136"/>
      <c r="V48" s="136"/>
      <c r="W48" s="208"/>
      <c r="X48" s="208"/>
      <c r="Y48" s="136"/>
      <c r="Z48" s="136"/>
      <c r="AA48" s="136"/>
      <c r="AB48" s="136"/>
      <c r="AJ48" s="449"/>
    </row>
    <row r="49" spans="4:36" s="234" customFormat="1">
      <c r="D49" s="134"/>
      <c r="E49" s="692">
        <v>18</v>
      </c>
      <c r="F49" s="692"/>
      <c r="G49" s="692"/>
      <c r="H49" s="692"/>
      <c r="I49" s="669">
        <f t="shared" si="1"/>
        <v>84</v>
      </c>
      <c r="J49" s="670"/>
      <c r="K49" s="670"/>
      <c r="L49" s="670"/>
      <c r="M49" s="447">
        <f t="shared" si="0"/>
        <v>18</v>
      </c>
      <c r="N49" s="134"/>
      <c r="O49" s="136"/>
      <c r="P49" s="136"/>
      <c r="Q49" s="235"/>
      <c r="R49" s="235"/>
      <c r="S49" s="136"/>
      <c r="T49" s="136"/>
      <c r="U49" s="136"/>
      <c r="V49" s="136"/>
      <c r="W49" s="208"/>
      <c r="X49" s="208"/>
      <c r="Y49" s="136"/>
      <c r="Z49" s="136"/>
      <c r="AA49" s="136"/>
      <c r="AB49" s="136"/>
      <c r="AJ49" s="449"/>
    </row>
    <row r="50" spans="4:36" s="234" customFormat="1">
      <c r="D50" s="134"/>
      <c r="E50" s="692">
        <v>19</v>
      </c>
      <c r="F50" s="692"/>
      <c r="G50" s="692"/>
      <c r="H50" s="692"/>
      <c r="I50" s="669">
        <f t="shared" si="1"/>
        <v>87</v>
      </c>
      <c r="J50" s="670"/>
      <c r="K50" s="670"/>
      <c r="L50" s="670"/>
      <c r="M50" s="447">
        <f t="shared" si="0"/>
        <v>19</v>
      </c>
      <c r="N50" s="134"/>
      <c r="O50" s="136"/>
      <c r="P50" s="136"/>
      <c r="Q50" s="235"/>
      <c r="R50" s="235"/>
      <c r="S50" s="136"/>
      <c r="T50" s="136"/>
      <c r="U50" s="136"/>
      <c r="V50" s="136"/>
      <c r="W50" s="208"/>
      <c r="X50" s="208"/>
      <c r="Y50" s="136"/>
      <c r="Z50" s="136"/>
      <c r="AA50" s="136"/>
      <c r="AB50" s="136"/>
      <c r="AJ50" s="449"/>
    </row>
    <row r="51" spans="4:36" s="234" customFormat="1">
      <c r="D51" s="134"/>
      <c r="E51" s="692">
        <v>20</v>
      </c>
      <c r="F51" s="692"/>
      <c r="G51" s="692"/>
      <c r="H51" s="692"/>
      <c r="I51" s="669">
        <f t="shared" si="1"/>
        <v>90</v>
      </c>
      <c r="J51" s="670"/>
      <c r="K51" s="670"/>
      <c r="L51" s="670"/>
      <c r="M51" s="447">
        <f t="shared" si="0"/>
        <v>20</v>
      </c>
      <c r="N51" s="134"/>
      <c r="O51" s="136"/>
      <c r="P51" s="136"/>
      <c r="Q51" s="235"/>
      <c r="R51" s="235"/>
      <c r="S51" s="136"/>
      <c r="T51" s="136"/>
      <c r="U51" s="136"/>
      <c r="V51" s="136"/>
      <c r="W51" s="208"/>
      <c r="X51" s="208"/>
      <c r="Y51" s="136"/>
      <c r="Z51" s="136"/>
      <c r="AA51" s="136"/>
      <c r="AB51" s="136"/>
      <c r="AJ51" s="449"/>
    </row>
    <row r="52" spans="4:36" s="234" customFormat="1">
      <c r="D52" s="134"/>
      <c r="E52" s="692">
        <v>21</v>
      </c>
      <c r="F52" s="692"/>
      <c r="G52" s="692"/>
      <c r="H52" s="692"/>
      <c r="I52" s="669">
        <f t="shared" si="1"/>
        <v>90</v>
      </c>
      <c r="J52" s="670"/>
      <c r="K52" s="670"/>
      <c r="L52" s="670"/>
      <c r="M52" s="447">
        <f t="shared" si="0"/>
        <v>21</v>
      </c>
      <c r="N52" s="134"/>
      <c r="O52" s="136"/>
      <c r="P52" s="136"/>
      <c r="Q52" s="235"/>
      <c r="R52" s="235"/>
      <c r="S52" s="136"/>
      <c r="T52" s="136"/>
      <c r="U52" s="136"/>
      <c r="V52" s="136"/>
      <c r="W52" s="208"/>
      <c r="X52" s="208"/>
      <c r="Y52" s="136"/>
      <c r="Z52" s="136"/>
      <c r="AA52" s="136"/>
      <c r="AB52" s="136"/>
      <c r="AJ52" s="449"/>
    </row>
    <row r="53" spans="4:36" s="234" customFormat="1" ht="15.75" thickBot="1">
      <c r="D53" s="138"/>
      <c r="E53" s="153"/>
      <c r="F53" s="153"/>
      <c r="G53" s="153"/>
      <c r="H53" s="153"/>
      <c r="I53" s="153"/>
      <c r="J53" s="153"/>
      <c r="K53" s="153"/>
      <c r="L53" s="710">
        <f>VLOOKUP(90,I31:M52,5,FALSE)</f>
        <v>20</v>
      </c>
      <c r="M53" s="711"/>
      <c r="N53" s="239"/>
      <c r="O53" s="235"/>
      <c r="P53" s="235"/>
      <c r="Q53" s="235"/>
      <c r="R53" s="235"/>
      <c r="S53" s="136"/>
      <c r="T53" s="136"/>
      <c r="U53" s="136"/>
      <c r="V53" s="136"/>
      <c r="W53" s="208"/>
      <c r="X53" s="208"/>
      <c r="Y53" s="136"/>
      <c r="Z53" s="136"/>
      <c r="AA53" s="136"/>
      <c r="AB53" s="136"/>
      <c r="AJ53" s="449"/>
    </row>
    <row r="54" spans="4:36" s="234" customFormat="1" ht="15.75" thickTop="1">
      <c r="D54" s="136"/>
      <c r="E54" s="235"/>
      <c r="F54" s="235"/>
      <c r="G54" s="235"/>
      <c r="H54" s="235"/>
      <c r="I54" s="235"/>
      <c r="J54" s="235"/>
      <c r="K54" s="235"/>
      <c r="L54" s="235"/>
      <c r="M54" s="235"/>
      <c r="N54" s="235"/>
      <c r="O54" s="235"/>
      <c r="P54" s="235"/>
      <c r="Q54" s="235"/>
      <c r="R54" s="235"/>
      <c r="S54" s="136"/>
      <c r="T54" s="136"/>
      <c r="U54" s="136"/>
      <c r="V54" s="136"/>
      <c r="W54" s="208"/>
      <c r="X54" s="208"/>
      <c r="Y54" s="136"/>
      <c r="Z54" s="136"/>
      <c r="AA54" s="136"/>
      <c r="AB54" s="136"/>
      <c r="AJ54" s="449"/>
    </row>
    <row r="55" spans="4:36" s="207" customFormat="1" ht="8.25" customHeight="1">
      <c r="D55" s="209"/>
      <c r="E55" s="210"/>
      <c r="F55" s="210"/>
      <c r="G55" s="210"/>
      <c r="H55" s="210"/>
      <c r="I55" s="210"/>
      <c r="J55" s="210"/>
      <c r="K55" s="210"/>
      <c r="L55" s="210"/>
      <c r="M55" s="210"/>
      <c r="N55" s="210"/>
      <c r="O55" s="210"/>
      <c r="P55" s="210"/>
      <c r="Q55" s="210"/>
      <c r="R55" s="210"/>
      <c r="S55" s="209"/>
      <c r="T55" s="209"/>
      <c r="U55" s="209"/>
      <c r="V55" s="209"/>
      <c r="W55" s="211"/>
      <c r="X55" s="211"/>
      <c r="Y55" s="209"/>
      <c r="Z55" s="209"/>
      <c r="AA55" s="209"/>
      <c r="AB55" s="209"/>
      <c r="AC55" s="212"/>
      <c r="AD55" s="212"/>
      <c r="AE55" s="212"/>
      <c r="AF55" s="212"/>
      <c r="AG55" s="212"/>
      <c r="AH55" s="212"/>
      <c r="AJ55" s="449"/>
    </row>
    <row r="56" spans="4:36" s="207" customFormat="1" ht="15.75" thickBot="1">
      <c r="AJ56" s="449"/>
    </row>
    <row r="57" spans="4:36" ht="15.75" thickTop="1">
      <c r="D57" s="131"/>
      <c r="E57" s="132"/>
      <c r="F57" s="132"/>
      <c r="G57" s="132"/>
      <c r="H57" s="132"/>
      <c r="I57" s="132"/>
      <c r="J57" s="132"/>
      <c r="K57" s="132"/>
      <c r="L57" s="132"/>
      <c r="M57" s="132"/>
      <c r="N57" s="132"/>
      <c r="O57" s="132"/>
      <c r="P57" s="132"/>
      <c r="Q57" s="132"/>
      <c r="R57" s="132"/>
      <c r="S57" s="132"/>
      <c r="T57" s="132"/>
      <c r="U57" s="132"/>
      <c r="V57" s="132"/>
      <c r="W57" s="133"/>
    </row>
    <row r="58" spans="4:36">
      <c r="D58" s="134"/>
      <c r="E58" s="660" t="s">
        <v>96</v>
      </c>
      <c r="F58" s="660"/>
      <c r="G58" s="660"/>
      <c r="H58" s="660"/>
      <c r="I58" s="660"/>
      <c r="J58" s="660"/>
      <c r="K58" s="660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7"/>
    </row>
    <row r="59" spans="4:36" ht="15.75" thickBot="1">
      <c r="D59" s="134"/>
      <c r="E59" s="135" t="s">
        <v>97</v>
      </c>
      <c r="F59" s="136"/>
      <c r="G59" s="136"/>
      <c r="H59" s="136"/>
      <c r="I59" s="136"/>
      <c r="J59" s="136"/>
      <c r="K59" s="136"/>
      <c r="L59" s="136"/>
      <c r="M59" s="142" t="s">
        <v>100</v>
      </c>
      <c r="N59" s="136"/>
      <c r="O59" s="141"/>
      <c r="P59" s="135" t="s">
        <v>101</v>
      </c>
      <c r="Q59" s="136"/>
      <c r="R59" s="136"/>
      <c r="S59" s="136"/>
      <c r="T59" s="136"/>
      <c r="U59" s="136"/>
      <c r="V59" s="136"/>
      <c r="W59" s="137"/>
    </row>
    <row r="60" spans="4:36" ht="15.75" thickBot="1">
      <c r="D60" s="134"/>
      <c r="E60" s="143" t="s">
        <v>12</v>
      </c>
      <c r="F60" s="659">
        <v>1903.98</v>
      </c>
      <c r="G60" s="659"/>
      <c r="H60" s="659"/>
      <c r="I60" s="143"/>
      <c r="J60" s="665"/>
      <c r="K60" s="665"/>
      <c r="L60" s="694"/>
      <c r="M60" s="661">
        <v>0</v>
      </c>
      <c r="N60" s="662"/>
      <c r="O60" s="144"/>
      <c r="P60" s="661">
        <v>0</v>
      </c>
      <c r="Q60" s="662"/>
      <c r="R60" s="662"/>
      <c r="S60" s="143"/>
      <c r="T60" s="143"/>
      <c r="U60" s="143"/>
      <c r="V60" s="143"/>
      <c r="W60" s="137"/>
    </row>
    <row r="61" spans="4:36" ht="15.75" thickBot="1">
      <c r="D61" s="134"/>
      <c r="E61" s="143" t="s">
        <v>98</v>
      </c>
      <c r="F61" s="665">
        <f>F60+0.01</f>
        <v>1903.99</v>
      </c>
      <c r="G61" s="665"/>
      <c r="H61" s="665"/>
      <c r="I61" s="143" t="s">
        <v>12</v>
      </c>
      <c r="J61" s="659">
        <v>2826.65</v>
      </c>
      <c r="K61" s="659"/>
      <c r="L61" s="659"/>
      <c r="M61" s="673">
        <v>7.4999999999999997E-2</v>
      </c>
      <c r="N61" s="674"/>
      <c r="O61" s="144"/>
      <c r="P61" s="659">
        <v>142.80000000000001</v>
      </c>
      <c r="Q61" s="659"/>
      <c r="R61" s="659"/>
      <c r="S61" s="143"/>
      <c r="T61" s="143"/>
      <c r="U61" s="143"/>
      <c r="V61" s="143"/>
      <c r="W61" s="137"/>
    </row>
    <row r="62" spans="4:36" ht="15.75" thickBot="1">
      <c r="D62" s="134"/>
      <c r="E62" s="143" t="s">
        <v>98</v>
      </c>
      <c r="F62" s="665">
        <f>J61+0.01</f>
        <v>2826.6600000000003</v>
      </c>
      <c r="G62" s="665"/>
      <c r="H62" s="665"/>
      <c r="I62" s="143" t="s">
        <v>12</v>
      </c>
      <c r="J62" s="659">
        <v>3751.05</v>
      </c>
      <c r="K62" s="659"/>
      <c r="L62" s="659"/>
      <c r="M62" s="673">
        <v>0.15</v>
      </c>
      <c r="N62" s="674"/>
      <c r="O62" s="144"/>
      <c r="P62" s="659">
        <v>354.8</v>
      </c>
      <c r="Q62" s="659"/>
      <c r="R62" s="659"/>
      <c r="S62" s="143"/>
      <c r="T62" s="143"/>
      <c r="U62" s="143"/>
      <c r="V62" s="143"/>
      <c r="W62" s="137"/>
    </row>
    <row r="63" spans="4:36" ht="15.75" thickBot="1">
      <c r="D63" s="134"/>
      <c r="E63" s="143" t="s">
        <v>98</v>
      </c>
      <c r="F63" s="665">
        <f>J62+0.01</f>
        <v>3751.0600000000004</v>
      </c>
      <c r="G63" s="665"/>
      <c r="H63" s="665"/>
      <c r="I63" s="143" t="s">
        <v>12</v>
      </c>
      <c r="J63" s="659">
        <v>4664.68</v>
      </c>
      <c r="K63" s="659"/>
      <c r="L63" s="659"/>
      <c r="M63" s="673">
        <v>0.22500000000000001</v>
      </c>
      <c r="N63" s="674"/>
      <c r="O63" s="144"/>
      <c r="P63" s="659">
        <v>636.13</v>
      </c>
      <c r="Q63" s="659"/>
      <c r="R63" s="659"/>
      <c r="S63" s="143"/>
      <c r="T63" s="143"/>
      <c r="U63" s="143"/>
      <c r="V63" s="143"/>
      <c r="W63" s="137"/>
    </row>
    <row r="64" spans="4:36">
      <c r="D64" s="134"/>
      <c r="E64" s="136" t="s">
        <v>99</v>
      </c>
      <c r="F64" s="136"/>
      <c r="G64" s="136"/>
      <c r="H64" s="695">
        <f>J63</f>
        <v>4664.68</v>
      </c>
      <c r="I64" s="695"/>
      <c r="J64" s="695"/>
      <c r="K64" s="136"/>
      <c r="L64" s="136"/>
      <c r="M64" s="675">
        <v>0.27500000000000002</v>
      </c>
      <c r="N64" s="676"/>
      <c r="O64" s="141"/>
      <c r="P64" s="663">
        <v>869.36</v>
      </c>
      <c r="Q64" s="663"/>
      <c r="R64" s="663"/>
      <c r="S64" s="136"/>
      <c r="T64" s="136"/>
      <c r="U64" s="136"/>
      <c r="V64" s="136"/>
      <c r="W64" s="137"/>
    </row>
    <row r="65" spans="4:36">
      <c r="D65" s="134"/>
      <c r="E65" s="136"/>
      <c r="F65" s="136"/>
      <c r="G65" s="136"/>
      <c r="H65" s="148"/>
      <c r="I65" s="148"/>
      <c r="J65" s="148"/>
      <c r="K65" s="136"/>
      <c r="L65" s="136"/>
      <c r="M65" s="149"/>
      <c r="N65" s="149"/>
      <c r="O65" s="136"/>
      <c r="P65" s="148"/>
      <c r="Q65" s="148"/>
      <c r="R65" s="148"/>
      <c r="S65" s="136"/>
      <c r="T65" s="136"/>
      <c r="U65" s="136"/>
      <c r="V65" s="136"/>
      <c r="W65" s="137"/>
    </row>
    <row r="66" spans="4:36">
      <c r="D66" s="134"/>
      <c r="E66" s="136" t="s">
        <v>118</v>
      </c>
      <c r="F66" s="136"/>
      <c r="G66" s="136"/>
      <c r="H66" s="148"/>
      <c r="I66" s="148"/>
      <c r="J66" s="148"/>
      <c r="K66" s="663">
        <v>189.59</v>
      </c>
      <c r="L66" s="663"/>
      <c r="M66" s="663"/>
      <c r="N66" s="149"/>
      <c r="O66" s="136"/>
      <c r="P66" s="148"/>
      <c r="Q66" s="148"/>
      <c r="R66" s="148"/>
      <c r="S66" s="136"/>
      <c r="T66" s="136"/>
      <c r="U66" s="136"/>
      <c r="V66" s="136"/>
      <c r="W66" s="137"/>
    </row>
    <row r="67" spans="4:36" ht="15.75" thickBot="1">
      <c r="D67" s="138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40"/>
    </row>
    <row r="68" spans="4:36" ht="16.5" thickTop="1" thickBot="1">
      <c r="D68" s="136"/>
      <c r="E68" s="136"/>
      <c r="F68" s="136"/>
      <c r="G68" s="136"/>
      <c r="H68" s="1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</row>
    <row r="69" spans="4:36" ht="15.75" thickTop="1">
      <c r="D69" s="131"/>
      <c r="E69" s="132"/>
      <c r="F69" s="132"/>
      <c r="G69" s="132"/>
      <c r="H69" s="132"/>
      <c r="I69" s="132"/>
      <c r="J69" s="132"/>
      <c r="K69" s="132"/>
      <c r="L69" s="132"/>
      <c r="M69" s="132"/>
      <c r="N69" s="132"/>
      <c r="O69" s="132"/>
      <c r="P69" s="132"/>
      <c r="Q69" s="132"/>
      <c r="R69" s="132"/>
      <c r="S69" s="132"/>
      <c r="T69" s="132"/>
      <c r="U69" s="132"/>
      <c r="V69" s="133"/>
    </row>
    <row r="70" spans="4:36" ht="15.75" thickBot="1">
      <c r="D70" s="134"/>
      <c r="E70" s="680" t="s">
        <v>103</v>
      </c>
      <c r="F70" s="680"/>
      <c r="G70" s="680"/>
      <c r="H70" s="680"/>
      <c r="I70" s="680"/>
      <c r="J70" s="680"/>
      <c r="K70" s="680"/>
      <c r="L70" s="136"/>
      <c r="M70" s="136"/>
      <c r="N70" s="136"/>
      <c r="O70" s="136"/>
      <c r="P70" s="136"/>
      <c r="Q70" s="136"/>
      <c r="R70" s="136"/>
      <c r="S70" s="136"/>
      <c r="T70" s="136"/>
      <c r="U70" s="136"/>
      <c r="V70" s="137"/>
    </row>
    <row r="71" spans="4:36" ht="15.75" thickBot="1">
      <c r="D71" s="134"/>
      <c r="E71" s="145" t="s">
        <v>102</v>
      </c>
      <c r="F71" s="145"/>
      <c r="G71" s="145"/>
      <c r="H71" s="145"/>
      <c r="I71" s="145"/>
      <c r="J71" s="145"/>
      <c r="K71" s="145"/>
      <c r="L71" s="145"/>
      <c r="M71" s="146" t="s">
        <v>104</v>
      </c>
      <c r="N71" s="145"/>
      <c r="O71" s="143"/>
      <c r="P71" s="143"/>
      <c r="Q71" s="143"/>
      <c r="R71" s="143"/>
      <c r="S71" s="143"/>
      <c r="T71" s="143"/>
      <c r="U71" s="136"/>
      <c r="V71" s="137"/>
    </row>
    <row r="72" spans="4:36" ht="15.75" thickBot="1">
      <c r="D72" s="134"/>
      <c r="E72" s="143" t="s">
        <v>12</v>
      </c>
      <c r="F72" s="659">
        <v>1659.38</v>
      </c>
      <c r="G72" s="659"/>
      <c r="H72" s="659"/>
      <c r="I72" s="143"/>
      <c r="J72" s="143"/>
      <c r="K72" s="143"/>
      <c r="L72" s="143"/>
      <c r="M72" s="666">
        <v>0.08</v>
      </c>
      <c r="N72" s="667"/>
      <c r="O72" s="143"/>
      <c r="P72" s="143"/>
      <c r="Q72" s="143"/>
      <c r="R72" s="143"/>
      <c r="S72" s="143"/>
      <c r="T72" s="143"/>
      <c r="U72" s="136"/>
      <c r="V72" s="137"/>
    </row>
    <row r="73" spans="4:36" ht="15.75" thickBot="1">
      <c r="D73" s="134"/>
      <c r="E73" s="143" t="s">
        <v>98</v>
      </c>
      <c r="F73" s="665">
        <f>F72+0.01</f>
        <v>1659.39</v>
      </c>
      <c r="G73" s="665"/>
      <c r="H73" s="665"/>
      <c r="I73" s="143" t="s">
        <v>12</v>
      </c>
      <c r="J73" s="659">
        <v>2765.66</v>
      </c>
      <c r="K73" s="659"/>
      <c r="L73" s="659"/>
      <c r="M73" s="666">
        <v>0.09</v>
      </c>
      <c r="N73" s="667"/>
      <c r="O73" s="143"/>
      <c r="P73" s="143"/>
      <c r="Q73" s="143"/>
      <c r="R73" s="143"/>
      <c r="S73" s="143"/>
      <c r="T73" s="143"/>
      <c r="U73" s="136"/>
      <c r="V73" s="137"/>
    </row>
    <row r="74" spans="4:36" ht="15.75" thickBot="1">
      <c r="D74" s="134"/>
      <c r="E74" s="143" t="s">
        <v>98</v>
      </c>
      <c r="F74" s="665">
        <f>J73+0.01</f>
        <v>2765.67</v>
      </c>
      <c r="G74" s="665"/>
      <c r="H74" s="665"/>
      <c r="I74" s="143" t="s">
        <v>12</v>
      </c>
      <c r="J74" s="659">
        <v>5531.31</v>
      </c>
      <c r="K74" s="659"/>
      <c r="L74" s="659"/>
      <c r="M74" s="666">
        <v>0.11</v>
      </c>
      <c r="N74" s="667"/>
      <c r="O74" s="143"/>
      <c r="P74" s="143"/>
      <c r="Q74" s="143"/>
      <c r="R74" s="143"/>
      <c r="S74" s="143"/>
      <c r="T74" s="143"/>
      <c r="U74" s="136"/>
      <c r="V74" s="137"/>
    </row>
    <row r="75" spans="4:36" s="349" customFormat="1">
      <c r="D75" s="134"/>
      <c r="E75" s="136"/>
      <c r="F75" s="350"/>
      <c r="G75" s="350"/>
      <c r="H75" s="350"/>
      <c r="I75" s="136"/>
      <c r="J75" s="414"/>
      <c r="K75" s="414"/>
      <c r="L75" s="414"/>
      <c r="M75" s="415"/>
      <c r="N75" s="415"/>
      <c r="O75" s="136"/>
      <c r="P75" s="136"/>
      <c r="Q75" s="136"/>
      <c r="R75" s="136"/>
      <c r="S75" s="136"/>
      <c r="T75" s="136"/>
      <c r="U75" s="136"/>
      <c r="V75" s="137"/>
      <c r="AJ75" s="449"/>
    </row>
    <row r="76" spans="4:36" s="349" customFormat="1">
      <c r="D76" s="134"/>
      <c r="E76" s="136" t="s">
        <v>180</v>
      </c>
      <c r="F76" s="350"/>
      <c r="G76" s="350"/>
      <c r="H76" s="350"/>
      <c r="I76" s="136"/>
      <c r="J76" s="414"/>
      <c r="K76" s="414"/>
      <c r="L76" s="414"/>
      <c r="M76" s="415"/>
      <c r="N76" s="415"/>
      <c r="O76" s="668" t="s">
        <v>127</v>
      </c>
      <c r="P76" s="668"/>
      <c r="Q76" s="136"/>
      <c r="R76" s="136"/>
      <c r="S76" s="136"/>
      <c r="T76" s="136"/>
      <c r="U76" s="136"/>
      <c r="V76" s="137"/>
      <c r="AJ76" s="449"/>
    </row>
    <row r="77" spans="4:36" ht="15.75" thickBot="1">
      <c r="D77" s="138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40"/>
    </row>
    <row r="78" spans="4:36" ht="16.5" thickTop="1" thickBot="1">
      <c r="D78" s="136"/>
      <c r="E78" s="136"/>
      <c r="F78" s="136"/>
      <c r="G78" s="136"/>
      <c r="H78" s="136"/>
      <c r="I78" s="136"/>
      <c r="J78" s="136"/>
      <c r="K78" s="136"/>
      <c r="L78" s="136"/>
      <c r="M78" s="136"/>
      <c r="N78" s="136"/>
      <c r="O78" s="136"/>
      <c r="P78" s="136"/>
      <c r="Q78" s="136"/>
      <c r="R78" s="136"/>
      <c r="S78" s="136"/>
      <c r="T78" s="136"/>
      <c r="U78" s="136"/>
      <c r="V78" s="136"/>
    </row>
    <row r="79" spans="4:36" ht="15.75" thickTop="1">
      <c r="D79" s="131"/>
      <c r="E79" s="132"/>
      <c r="F79" s="132"/>
      <c r="G79" s="132"/>
      <c r="H79" s="132"/>
      <c r="I79" s="132"/>
      <c r="J79" s="132"/>
      <c r="K79" s="132"/>
      <c r="L79" s="132"/>
      <c r="M79" s="132"/>
      <c r="N79" s="132"/>
      <c r="O79" s="132"/>
      <c r="P79" s="132"/>
      <c r="Q79" s="132"/>
      <c r="R79" s="132"/>
      <c r="S79" s="132"/>
      <c r="T79" s="132"/>
      <c r="U79" s="132"/>
      <c r="V79" s="132"/>
      <c r="W79" s="132"/>
      <c r="X79" s="132"/>
      <c r="Y79" s="132"/>
      <c r="Z79" s="132"/>
      <c r="AA79" s="132"/>
      <c r="AB79" s="132"/>
      <c r="AC79" s="132"/>
      <c r="AD79" s="132"/>
      <c r="AE79" s="132"/>
      <c r="AF79" s="132"/>
      <c r="AG79" s="132"/>
      <c r="AH79" s="133"/>
    </row>
    <row r="80" spans="4:36" ht="15.75" thickBot="1">
      <c r="D80" s="134"/>
      <c r="E80" s="660" t="s">
        <v>105</v>
      </c>
      <c r="F80" s="660"/>
      <c r="G80" s="660"/>
      <c r="H80" s="660"/>
      <c r="I80" s="660"/>
      <c r="J80" s="660"/>
      <c r="K80" s="660"/>
      <c r="L80" s="660"/>
      <c r="M80" s="660"/>
      <c r="N80" s="660"/>
      <c r="O80" s="660"/>
      <c r="P80" s="660"/>
      <c r="Q80" s="136"/>
      <c r="R80" s="136"/>
      <c r="S80" s="136"/>
      <c r="T80" s="136"/>
      <c r="U80" s="136"/>
      <c r="V80" s="136"/>
      <c r="W80" s="136"/>
      <c r="X80" s="136"/>
      <c r="Y80" s="136"/>
      <c r="Z80" s="136"/>
      <c r="AA80" s="136"/>
      <c r="AB80" s="136"/>
      <c r="AC80" s="136"/>
      <c r="AD80" s="136"/>
      <c r="AE80" s="136"/>
      <c r="AF80" s="136"/>
      <c r="AG80" s="136"/>
      <c r="AH80" s="137"/>
    </row>
    <row r="81" spans="4:36" ht="15.75" thickBot="1">
      <c r="D81" s="134"/>
      <c r="E81" s="145" t="s">
        <v>106</v>
      </c>
      <c r="F81" s="145"/>
      <c r="G81" s="145"/>
      <c r="H81" s="145"/>
      <c r="I81" s="145"/>
      <c r="J81" s="145"/>
      <c r="K81" s="145"/>
      <c r="L81" s="145"/>
      <c r="M81" s="146" t="s">
        <v>108</v>
      </c>
      <c r="N81" s="143"/>
      <c r="O81" s="143"/>
      <c r="P81" s="143"/>
      <c r="Q81" s="143"/>
      <c r="R81" s="143"/>
      <c r="S81" s="143"/>
      <c r="T81" s="143"/>
      <c r="U81" s="143"/>
      <c r="V81" s="143"/>
      <c r="W81" s="143"/>
      <c r="X81" s="143"/>
      <c r="Y81" s="143"/>
      <c r="Z81" s="143"/>
      <c r="AA81" s="143"/>
      <c r="AB81" s="143"/>
      <c r="AC81" s="143"/>
      <c r="AD81" s="143"/>
      <c r="AE81" s="143"/>
      <c r="AF81" s="143"/>
      <c r="AG81" s="143"/>
      <c r="AH81" s="137"/>
    </row>
    <row r="82" spans="4:36" ht="15.75" thickBot="1">
      <c r="D82" s="134"/>
      <c r="E82" s="143" t="s">
        <v>12</v>
      </c>
      <c r="F82" s="659">
        <v>1450.23</v>
      </c>
      <c r="G82" s="659"/>
      <c r="H82" s="659"/>
      <c r="I82" s="143"/>
      <c r="J82" s="143"/>
      <c r="K82" s="143"/>
      <c r="L82" s="143"/>
      <c r="M82" s="147" t="s">
        <v>109</v>
      </c>
      <c r="N82" s="143"/>
      <c r="O82" s="143"/>
      <c r="P82" s="143"/>
      <c r="Q82" s="143"/>
      <c r="R82" s="143"/>
      <c r="S82" s="143"/>
      <c r="T82" s="662">
        <v>0.8</v>
      </c>
      <c r="U82" s="662"/>
      <c r="V82" s="664">
        <f>T82*100%</f>
        <v>0.8</v>
      </c>
      <c r="W82" s="664"/>
      <c r="X82" s="143"/>
      <c r="Y82" s="143"/>
      <c r="Z82" s="143"/>
      <c r="AA82" s="143"/>
      <c r="AB82" s="143"/>
      <c r="AC82" s="143"/>
      <c r="AD82" s="143"/>
      <c r="AE82" s="143"/>
      <c r="AF82" s="143"/>
      <c r="AG82" s="143"/>
      <c r="AH82" s="137"/>
    </row>
    <row r="83" spans="4:36" ht="15.75" thickBot="1">
      <c r="D83" s="134"/>
      <c r="E83" s="143" t="s">
        <v>98</v>
      </c>
      <c r="F83" s="665">
        <f>F82+0.01</f>
        <v>1450.24</v>
      </c>
      <c r="G83" s="665"/>
      <c r="H83" s="665"/>
      <c r="I83" s="143" t="s">
        <v>12</v>
      </c>
      <c r="J83" s="659">
        <v>2417.29</v>
      </c>
      <c r="K83" s="659"/>
      <c r="L83" s="659"/>
      <c r="M83" s="147" t="s">
        <v>110</v>
      </c>
      <c r="N83" s="143"/>
      <c r="O83" s="143"/>
      <c r="P83" s="143"/>
      <c r="Q83" s="659">
        <v>1450.23</v>
      </c>
      <c r="R83" s="659"/>
      <c r="S83" s="659"/>
      <c r="T83" s="143" t="s">
        <v>111</v>
      </c>
      <c r="U83" s="143"/>
      <c r="V83" s="143"/>
      <c r="W83" s="143"/>
      <c r="X83" s="662">
        <v>0.5</v>
      </c>
      <c r="Y83" s="662"/>
      <c r="Z83" s="664">
        <f>X83*100%</f>
        <v>0.5</v>
      </c>
      <c r="AA83" s="664"/>
      <c r="AB83" s="143" t="s">
        <v>112</v>
      </c>
      <c r="AC83" s="143"/>
      <c r="AD83" s="143"/>
      <c r="AE83" s="659">
        <v>1160.18</v>
      </c>
      <c r="AF83" s="659"/>
      <c r="AG83" s="659"/>
      <c r="AH83" s="137"/>
    </row>
    <row r="84" spans="4:36" ht="15.75" thickBot="1">
      <c r="D84" s="134"/>
      <c r="E84" s="143" t="s">
        <v>107</v>
      </c>
      <c r="F84" s="143"/>
      <c r="G84" s="665">
        <f>J83</f>
        <v>2417.29</v>
      </c>
      <c r="H84" s="665"/>
      <c r="I84" s="665"/>
      <c r="J84" s="143"/>
      <c r="K84" s="143"/>
      <c r="L84" s="143"/>
      <c r="M84" s="147" t="s">
        <v>113</v>
      </c>
      <c r="N84" s="143"/>
      <c r="O84" s="143"/>
      <c r="P84" s="143"/>
      <c r="Q84" s="143"/>
      <c r="R84" s="143"/>
      <c r="S84" s="659">
        <v>1643.72</v>
      </c>
      <c r="T84" s="659"/>
      <c r="U84" s="659"/>
      <c r="V84" s="143" t="s">
        <v>114</v>
      </c>
      <c r="W84" s="143"/>
      <c r="X84" s="143"/>
      <c r="Y84" s="143"/>
      <c r="Z84" s="143"/>
      <c r="AA84" s="143"/>
      <c r="AB84" s="143"/>
      <c r="AC84" s="143"/>
      <c r="AD84" s="143"/>
      <c r="AE84" s="143"/>
      <c r="AF84" s="143"/>
      <c r="AG84" s="143"/>
      <c r="AH84" s="137"/>
    </row>
    <row r="85" spans="4:36" s="349" customFormat="1" ht="15.75" thickBot="1">
      <c r="D85" s="138"/>
      <c r="E85" s="139"/>
      <c r="F85" s="139"/>
      <c r="G85" s="352"/>
      <c r="H85" s="352"/>
      <c r="I85" s="352"/>
      <c r="J85" s="139"/>
      <c r="K85" s="139"/>
      <c r="L85" s="139"/>
      <c r="M85" s="139"/>
      <c r="N85" s="139"/>
      <c r="O85" s="139"/>
      <c r="P85" s="139"/>
      <c r="Q85" s="139"/>
      <c r="R85" s="194"/>
      <c r="S85" s="416"/>
      <c r="T85" s="416"/>
      <c r="U85" s="416"/>
      <c r="V85" s="194"/>
      <c r="W85" s="194"/>
      <c r="X85" s="194"/>
      <c r="Y85" s="194"/>
      <c r="Z85" s="139"/>
      <c r="AA85" s="139"/>
      <c r="AB85" s="139"/>
      <c r="AC85" s="139"/>
      <c r="AD85" s="139"/>
      <c r="AE85" s="139"/>
      <c r="AF85" s="139"/>
      <c r="AG85" s="139"/>
      <c r="AH85" s="140"/>
      <c r="AJ85" s="449"/>
    </row>
    <row r="86" spans="4:36" ht="16.5" thickTop="1" thickBot="1"/>
    <row r="87" spans="4:36" ht="15.75" thickTop="1">
      <c r="D87" s="131"/>
      <c r="E87" s="132"/>
      <c r="F87" s="132"/>
      <c r="G87" s="132"/>
      <c r="H87" s="132"/>
      <c r="I87" s="132"/>
      <c r="J87" s="132"/>
      <c r="K87" s="132"/>
      <c r="L87" s="132"/>
      <c r="M87" s="132"/>
      <c r="N87" s="132"/>
      <c r="O87" s="132"/>
      <c r="P87" s="132"/>
      <c r="Q87" s="132"/>
      <c r="R87" s="133"/>
    </row>
    <row r="88" spans="4:36" ht="15.75" thickBot="1">
      <c r="D88" s="134"/>
      <c r="E88" s="660" t="s">
        <v>119</v>
      </c>
      <c r="F88" s="660"/>
      <c r="G88" s="660"/>
      <c r="H88" s="660"/>
      <c r="I88" s="660"/>
      <c r="J88" s="660"/>
      <c r="K88" s="136"/>
      <c r="L88" s="136"/>
      <c r="M88" s="136"/>
      <c r="N88" s="136"/>
      <c r="O88" s="136"/>
      <c r="P88" s="136"/>
      <c r="Q88" s="136"/>
      <c r="R88" s="137"/>
    </row>
    <row r="89" spans="4:36" ht="15.75" thickBot="1">
      <c r="D89" s="134"/>
      <c r="E89" s="145" t="s">
        <v>120</v>
      </c>
      <c r="F89" s="143"/>
      <c r="G89" s="143"/>
      <c r="H89" s="143"/>
      <c r="I89" s="146" t="s">
        <v>121</v>
      </c>
      <c r="J89" s="143"/>
      <c r="K89" s="143"/>
      <c r="L89" s="143"/>
      <c r="M89" s="143"/>
      <c r="N89" s="143"/>
      <c r="O89" s="143"/>
      <c r="P89" s="143"/>
      <c r="Q89" s="143"/>
      <c r="R89" s="137"/>
    </row>
    <row r="90" spans="4:36" ht="15.75" thickBot="1">
      <c r="D90" s="134"/>
      <c r="E90" s="143" t="s">
        <v>12</v>
      </c>
      <c r="F90" s="659">
        <v>859.88</v>
      </c>
      <c r="G90" s="659"/>
      <c r="H90" s="659"/>
      <c r="I90" s="688">
        <v>44.09</v>
      </c>
      <c r="J90" s="659"/>
      <c r="K90" s="659"/>
      <c r="L90" s="143"/>
      <c r="M90" s="143"/>
      <c r="N90" s="143"/>
      <c r="O90" s="143"/>
      <c r="P90" s="143"/>
      <c r="Q90" s="143"/>
      <c r="R90" s="137"/>
    </row>
    <row r="91" spans="4:36" ht="15.75" thickBot="1">
      <c r="D91" s="134"/>
      <c r="E91" s="143" t="s">
        <v>12</v>
      </c>
      <c r="F91" s="659">
        <v>1292.43</v>
      </c>
      <c r="G91" s="659"/>
      <c r="H91" s="659"/>
      <c r="I91" s="688">
        <v>31.07</v>
      </c>
      <c r="J91" s="659"/>
      <c r="K91" s="659"/>
      <c r="L91" s="143"/>
      <c r="M91" s="143"/>
      <c r="N91" s="143"/>
      <c r="O91" s="143"/>
      <c r="P91" s="143"/>
      <c r="Q91" s="143"/>
      <c r="R91" s="137"/>
    </row>
    <row r="92" spans="4:36" ht="15.75" thickBot="1">
      <c r="D92" s="138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40"/>
      <c r="AE92" s="159"/>
    </row>
    <row r="93" spans="4:36" ht="16.5" thickTop="1" thickBot="1">
      <c r="AE93" s="159"/>
    </row>
    <row r="94" spans="4:36" s="150" customFormat="1" ht="15.75" thickTop="1">
      <c r="D94" s="131"/>
      <c r="E94" s="132"/>
      <c r="F94" s="132"/>
      <c r="G94" s="132"/>
      <c r="H94" s="132"/>
      <c r="I94" s="132"/>
      <c r="J94" s="132"/>
      <c r="K94" s="132"/>
      <c r="L94" s="132"/>
      <c r="M94" s="132"/>
      <c r="N94" s="132"/>
      <c r="O94" s="132"/>
      <c r="P94" s="132"/>
      <c r="Q94" s="133"/>
      <c r="AE94" s="159"/>
      <c r="AJ94" s="449"/>
    </row>
    <row r="95" spans="4:36" s="150" customFormat="1">
      <c r="D95" s="134"/>
      <c r="E95" s="136" t="s">
        <v>117</v>
      </c>
      <c r="F95" s="136"/>
      <c r="G95" s="136"/>
      <c r="H95" s="136"/>
      <c r="I95" s="136"/>
      <c r="J95" s="136"/>
      <c r="K95" s="663">
        <v>937</v>
      </c>
      <c r="L95" s="663"/>
      <c r="M95" s="663"/>
      <c r="P95" s="689"/>
      <c r="Q95" s="690"/>
      <c r="AJ95" s="449"/>
    </row>
    <row r="96" spans="4:36" s="150" customFormat="1" ht="15.75" thickBot="1">
      <c r="D96" s="138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40"/>
      <c r="AJ96" s="449"/>
    </row>
    <row r="97" spans="1:36" s="150" customFormat="1" ht="15.75" thickTop="1">
      <c r="AJ97" s="449"/>
    </row>
    <row r="98" spans="1:36" s="444" customFormat="1" ht="15.75" thickBot="1">
      <c r="A98" s="159"/>
      <c r="B98" s="159"/>
      <c r="C98" s="159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9"/>
      <c r="Y98" s="159"/>
      <c r="AJ98" s="450"/>
    </row>
    <row r="99" spans="1:36" s="444" customFormat="1" ht="15.75" thickTop="1">
      <c r="A99" s="159"/>
      <c r="B99" s="159"/>
      <c r="C99" s="159"/>
      <c r="D99" s="173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5"/>
      <c r="AA99" s="456"/>
      <c r="AB99" s="457"/>
      <c r="AC99" s="457"/>
      <c r="AD99" s="457"/>
      <c r="AE99" s="457"/>
      <c r="AF99" s="457"/>
      <c r="AG99" s="458"/>
      <c r="AJ99" s="450"/>
    </row>
    <row r="100" spans="1:36" s="444" customFormat="1">
      <c r="A100" s="159"/>
      <c r="B100" s="159"/>
      <c r="C100" s="159"/>
      <c r="D100" s="176"/>
      <c r="E100" s="655" t="s">
        <v>133</v>
      </c>
      <c r="F100" s="655"/>
      <c r="G100" s="655"/>
      <c r="H100" s="655"/>
      <c r="I100" s="655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  <c r="Y100" s="177"/>
      <c r="AA100" s="445"/>
      <c r="AB100" s="655" t="s">
        <v>212</v>
      </c>
      <c r="AC100" s="655"/>
      <c r="AD100" s="655"/>
      <c r="AE100" s="655"/>
      <c r="AF100" s="655"/>
      <c r="AG100" s="459"/>
      <c r="AJ100" s="450"/>
    </row>
    <row r="101" spans="1:36" s="444" customFormat="1">
      <c r="A101" s="159"/>
      <c r="B101" s="159"/>
      <c r="C101" s="159"/>
      <c r="D101" s="176"/>
      <c r="E101" s="160" t="s">
        <v>134</v>
      </c>
      <c r="F101" s="160"/>
      <c r="G101" s="160"/>
      <c r="H101" s="160"/>
      <c r="I101" s="684" t="s">
        <v>217</v>
      </c>
      <c r="J101" s="684"/>
      <c r="K101" s="684"/>
      <c r="L101" s="684"/>
      <c r="M101" s="684"/>
      <c r="N101" s="684"/>
      <c r="O101" s="684"/>
      <c r="P101" s="684"/>
      <c r="Q101" s="684"/>
      <c r="R101" s="684"/>
      <c r="S101" s="684"/>
      <c r="T101" s="160"/>
      <c r="U101" s="160"/>
      <c r="V101" s="160"/>
      <c r="W101" s="160"/>
      <c r="X101" s="160"/>
      <c r="Y101" s="177"/>
      <c r="AA101" s="445"/>
      <c r="AB101" s="443"/>
      <c r="AC101" s="443"/>
      <c r="AD101" s="443"/>
      <c r="AE101" s="443"/>
      <c r="AF101" s="443"/>
      <c r="AG101" s="459"/>
      <c r="AJ101" s="450"/>
    </row>
    <row r="102" spans="1:36" s="444" customFormat="1">
      <c r="A102" s="159"/>
      <c r="B102" s="159"/>
      <c r="C102" s="159"/>
      <c r="D102" s="176"/>
      <c r="E102" s="161" t="s">
        <v>135</v>
      </c>
      <c r="F102" s="161"/>
      <c r="G102" s="161"/>
      <c r="H102" s="161"/>
      <c r="I102" s="685" t="s">
        <v>218</v>
      </c>
      <c r="J102" s="685"/>
      <c r="K102" s="685"/>
      <c r="L102" s="685"/>
      <c r="M102" s="685"/>
      <c r="N102" s="685"/>
      <c r="O102" s="685"/>
      <c r="P102" s="685"/>
      <c r="Q102" s="685"/>
      <c r="R102" s="685"/>
      <c r="S102" s="685"/>
      <c r="T102" s="685"/>
      <c r="U102" s="685"/>
      <c r="V102" s="685"/>
      <c r="W102" s="685"/>
      <c r="X102" s="685"/>
      <c r="Y102" s="177"/>
      <c r="AA102" s="460"/>
      <c r="AB102" s="649" t="s">
        <v>213</v>
      </c>
      <c r="AC102" s="650"/>
      <c r="AD102" s="650" t="s">
        <v>206</v>
      </c>
      <c r="AE102" s="651"/>
      <c r="AF102" s="443"/>
      <c r="AG102" s="459"/>
      <c r="AJ102" s="450"/>
    </row>
    <row r="103" spans="1:36" s="444" customFormat="1">
      <c r="A103" s="159"/>
      <c r="B103" s="159"/>
      <c r="C103" s="159"/>
      <c r="D103" s="176"/>
      <c r="E103" s="161" t="s">
        <v>136</v>
      </c>
      <c r="F103" s="161"/>
      <c r="G103" s="161"/>
      <c r="H103" s="161"/>
      <c r="I103" s="162"/>
      <c r="J103" s="685" t="s">
        <v>219</v>
      </c>
      <c r="K103" s="685"/>
      <c r="L103" s="685"/>
      <c r="M103" s="685"/>
      <c r="N103" s="685"/>
      <c r="O103" s="685"/>
      <c r="P103" s="685"/>
      <c r="Q103" s="685"/>
      <c r="R103" s="685"/>
      <c r="S103" s="685"/>
      <c r="T103" s="685"/>
      <c r="U103" s="685"/>
      <c r="V103" s="685"/>
      <c r="W103" s="685"/>
      <c r="X103" s="685"/>
      <c r="Y103" s="177"/>
      <c r="AA103" s="445"/>
      <c r="AB103" s="652">
        <v>1</v>
      </c>
      <c r="AC103" s="653"/>
      <c r="AD103" s="653">
        <v>9</v>
      </c>
      <c r="AE103" s="654"/>
      <c r="AF103" s="443"/>
      <c r="AG103" s="459"/>
      <c r="AJ103" s="450"/>
    </row>
    <row r="104" spans="1:36" s="444" customFormat="1" ht="15.75" thickBot="1">
      <c r="A104" s="159"/>
      <c r="B104" s="159"/>
      <c r="C104" s="159"/>
      <c r="D104" s="176"/>
      <c r="E104" s="161" t="s">
        <v>137</v>
      </c>
      <c r="F104" s="161"/>
      <c r="G104" s="161"/>
      <c r="H104" s="685" t="s">
        <v>220</v>
      </c>
      <c r="I104" s="685"/>
      <c r="J104" s="685"/>
      <c r="K104" s="685"/>
      <c r="L104" s="685"/>
      <c r="M104" s="685"/>
      <c r="N104" s="162"/>
      <c r="O104" s="184" t="s">
        <v>138</v>
      </c>
      <c r="P104" s="686" t="s">
        <v>221</v>
      </c>
      <c r="Q104" s="686"/>
      <c r="R104" s="686"/>
      <c r="S104" s="686"/>
      <c r="T104" s="686"/>
      <c r="U104" s="686"/>
      <c r="V104" s="686"/>
      <c r="W104" s="686"/>
      <c r="X104" s="686"/>
      <c r="Y104" s="177"/>
      <c r="AA104" s="461"/>
      <c r="AB104" s="462"/>
      <c r="AC104" s="462"/>
      <c r="AD104" s="462"/>
      <c r="AE104" s="462"/>
      <c r="AF104" s="462"/>
      <c r="AG104" s="463"/>
      <c r="AJ104" s="450"/>
    </row>
    <row r="105" spans="1:36" s="444" customFormat="1">
      <c r="A105" s="159"/>
      <c r="B105" s="159"/>
      <c r="C105" s="159"/>
      <c r="D105" s="176"/>
      <c r="E105" s="158" t="s">
        <v>139</v>
      </c>
      <c r="F105" s="158"/>
      <c r="G105" s="687" t="s">
        <v>222</v>
      </c>
      <c r="H105" s="687"/>
      <c r="I105" s="687"/>
      <c r="J105" s="687"/>
      <c r="K105" s="687"/>
      <c r="L105" s="687"/>
      <c r="M105" s="687"/>
      <c r="N105" s="687"/>
      <c r="O105" s="687"/>
      <c r="P105" s="687"/>
      <c r="Q105" s="163"/>
      <c r="R105" s="163"/>
      <c r="S105" s="164"/>
      <c r="T105" s="165"/>
      <c r="U105" s="165"/>
      <c r="V105" s="165"/>
      <c r="W105" s="165"/>
      <c r="X105" s="165"/>
      <c r="Y105" s="177"/>
      <c r="AJ105" s="450"/>
    </row>
    <row r="106" spans="1:36" s="190" customFormat="1" ht="15.75" thickBot="1">
      <c r="D106" s="193"/>
      <c r="E106" s="181"/>
      <c r="F106" s="181"/>
      <c r="G106" s="194"/>
      <c r="H106" s="194"/>
      <c r="I106" s="194"/>
      <c r="J106" s="194"/>
      <c r="K106" s="194"/>
      <c r="L106" s="194"/>
      <c r="M106" s="194"/>
      <c r="N106" s="194"/>
      <c r="O106" s="194"/>
      <c r="P106" s="194"/>
      <c r="Q106" s="181"/>
      <c r="R106" s="181"/>
      <c r="S106" s="182"/>
      <c r="T106" s="183"/>
      <c r="U106" s="183"/>
      <c r="V106" s="183"/>
      <c r="W106" s="183"/>
      <c r="X106" s="183"/>
      <c r="Y106" s="191"/>
      <c r="AJ106" s="434"/>
    </row>
    <row r="107" spans="1:36" s="190" customFormat="1" ht="16.5" thickTop="1" thickBot="1">
      <c r="D107" s="163"/>
      <c r="E107" s="163"/>
      <c r="F107" s="163"/>
      <c r="G107" s="192"/>
      <c r="H107" s="192"/>
      <c r="I107" s="192"/>
      <c r="J107" s="192"/>
      <c r="K107" s="192"/>
      <c r="L107" s="192"/>
      <c r="M107" s="192"/>
      <c r="N107" s="192"/>
      <c r="O107" s="192"/>
      <c r="P107" s="192"/>
      <c r="Q107" s="163"/>
      <c r="R107" s="163"/>
      <c r="S107" s="164"/>
      <c r="T107" s="165"/>
      <c r="U107" s="165"/>
      <c r="V107" s="165"/>
      <c r="W107" s="165"/>
      <c r="X107" s="165"/>
      <c r="AJ107" s="434"/>
    </row>
    <row r="108" spans="1:36" s="190" customFormat="1" ht="15.75" thickTop="1">
      <c r="D108" s="195"/>
      <c r="E108" s="196"/>
      <c r="F108" s="196"/>
      <c r="G108" s="196"/>
      <c r="H108" s="196"/>
      <c r="I108" s="196"/>
      <c r="J108" s="196"/>
      <c r="K108" s="196"/>
      <c r="L108" s="196"/>
      <c r="M108" s="196"/>
      <c r="N108" s="196"/>
      <c r="O108" s="196"/>
      <c r="P108" s="196"/>
      <c r="Q108" s="196"/>
      <c r="R108" s="196"/>
      <c r="S108" s="196"/>
      <c r="T108" s="196"/>
      <c r="U108" s="196"/>
      <c r="V108" s="196"/>
      <c r="W108" s="196"/>
      <c r="X108" s="196"/>
      <c r="Y108" s="196"/>
      <c r="Z108" s="196"/>
      <c r="AA108" s="196"/>
      <c r="AB108" s="196"/>
      <c r="AC108" s="197"/>
      <c r="AJ108" s="434"/>
    </row>
    <row r="109" spans="1:36" s="190" customFormat="1">
      <c r="D109" s="198"/>
      <c r="E109" s="671" t="s">
        <v>142</v>
      </c>
      <c r="F109" s="671"/>
      <c r="G109" s="671"/>
      <c r="H109" s="671"/>
      <c r="I109" s="671"/>
      <c r="J109" s="671"/>
      <c r="K109" s="671"/>
      <c r="L109" s="163"/>
      <c r="M109" s="163"/>
      <c r="N109" s="163"/>
      <c r="O109" s="163"/>
      <c r="P109" s="163"/>
      <c r="Q109" s="163"/>
      <c r="R109" s="163"/>
      <c r="S109" s="163"/>
      <c r="T109" s="163"/>
      <c r="U109" s="163"/>
      <c r="V109" s="163"/>
      <c r="W109" s="163"/>
      <c r="X109" s="163"/>
      <c r="Y109" s="163"/>
      <c r="Z109" s="163"/>
      <c r="AA109" s="163"/>
      <c r="AB109" s="163"/>
      <c r="AC109" s="199"/>
      <c r="AJ109" s="434"/>
    </row>
    <row r="110" spans="1:36" s="159" customFormat="1" ht="51" customHeight="1">
      <c r="D110" s="176"/>
      <c r="E110" s="681" t="s">
        <v>238</v>
      </c>
      <c r="F110" s="681"/>
      <c r="G110" s="681"/>
      <c r="H110" s="681"/>
      <c r="I110" s="681"/>
      <c r="J110" s="681"/>
      <c r="K110" s="681"/>
      <c r="L110" s="681"/>
      <c r="M110" s="681"/>
      <c r="N110" s="681"/>
      <c r="O110" s="681"/>
      <c r="P110" s="681"/>
      <c r="Q110" s="681"/>
      <c r="R110" s="681"/>
      <c r="S110" s="681"/>
      <c r="T110" s="681"/>
      <c r="U110" s="681"/>
      <c r="V110" s="681"/>
      <c r="W110" s="681"/>
      <c r="X110" s="681"/>
      <c r="Y110" s="681"/>
      <c r="Z110" s="681"/>
      <c r="AA110" s="681"/>
      <c r="AB110" s="681"/>
      <c r="AC110" s="178"/>
      <c r="AD110" s="115"/>
      <c r="AJ110" s="450"/>
    </row>
    <row r="111" spans="1:36" s="190" customFormat="1" ht="15" customHeight="1" thickBot="1">
      <c r="B111" s="115"/>
      <c r="C111" s="115"/>
      <c r="D111" s="179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80"/>
      <c r="W111" s="180"/>
      <c r="X111" s="180"/>
      <c r="Y111" s="180"/>
      <c r="Z111" s="180"/>
      <c r="AA111" s="181"/>
      <c r="AB111" s="181"/>
      <c r="AC111" s="191"/>
      <c r="AJ111" s="434"/>
    </row>
    <row r="112" spans="1:36" s="192" customFormat="1" ht="15.75" thickTop="1">
      <c r="A112" s="115"/>
      <c r="B112" s="115"/>
      <c r="C112" s="115"/>
      <c r="D112" s="115"/>
      <c r="E112" s="115"/>
      <c r="F112" s="115"/>
      <c r="G112" s="115"/>
      <c r="H112" s="115"/>
      <c r="I112" s="115"/>
      <c r="J112" s="115"/>
      <c r="K112" s="115"/>
      <c r="L112" s="115"/>
      <c r="M112" s="115"/>
      <c r="N112" s="115"/>
      <c r="O112" s="115"/>
      <c r="P112" s="115"/>
      <c r="Q112" s="115"/>
      <c r="R112" s="115"/>
      <c r="S112" s="115"/>
      <c r="T112" s="115"/>
      <c r="U112" s="115"/>
      <c r="V112" s="115"/>
      <c r="W112" s="115"/>
      <c r="X112" s="115"/>
      <c r="Y112" s="115"/>
      <c r="Z112" s="115"/>
      <c r="AJ112" s="451"/>
    </row>
    <row r="113" spans="1:36" s="192" customFormat="1">
      <c r="A113" s="190"/>
      <c r="B113" s="190"/>
      <c r="C113" s="190"/>
      <c r="D113" s="190"/>
      <c r="E113" s="190"/>
      <c r="F113" s="190"/>
      <c r="G113" s="190"/>
      <c r="H113" s="190"/>
      <c r="I113" s="190"/>
      <c r="J113" s="190"/>
      <c r="K113" s="190"/>
      <c r="L113" s="190"/>
      <c r="M113" s="190"/>
      <c r="N113" s="190"/>
      <c r="O113" s="190"/>
      <c r="P113" s="190"/>
      <c r="Q113" s="190"/>
      <c r="R113" s="190"/>
      <c r="S113" s="190"/>
      <c r="T113" s="190"/>
      <c r="U113" s="190"/>
      <c r="V113" s="190"/>
      <c r="W113" s="190"/>
      <c r="X113" s="190"/>
      <c r="Y113" s="190"/>
      <c r="Z113" s="190"/>
      <c r="AJ113" s="451"/>
    </row>
    <row r="114" spans="1:36" s="192" customFormat="1">
      <c r="D114" s="227" t="s">
        <v>123</v>
      </c>
      <c r="AJ114" s="451"/>
    </row>
    <row r="115" spans="1:36" s="192" customFormat="1" ht="16.5" customHeight="1">
      <c r="D115" s="227" t="s">
        <v>231</v>
      </c>
      <c r="AJ115" s="451"/>
    </row>
    <row r="116" spans="1:36" s="192" customFormat="1">
      <c r="D116" s="228"/>
      <c r="AJ116" s="451"/>
    </row>
    <row r="117" spans="1:36" s="192" customFormat="1">
      <c r="AJ117" s="451"/>
    </row>
    <row r="118" spans="1:36" s="192" customFormat="1" hidden="1">
      <c r="AJ118" s="451"/>
    </row>
    <row r="119" spans="1:36" s="192" customFormat="1" hidden="1">
      <c r="AJ119" s="451"/>
    </row>
    <row r="120" spans="1:36" s="192" customFormat="1" hidden="1">
      <c r="AJ120" s="451"/>
    </row>
    <row r="121" spans="1:36" s="192" customFormat="1" hidden="1">
      <c r="AJ121" s="451"/>
    </row>
    <row r="122" spans="1:36" hidden="1"/>
    <row r="123" spans="1:36" hidden="1"/>
    <row r="124" spans="1:36" hidden="1"/>
    <row r="125" spans="1:36" hidden="1"/>
    <row r="126" spans="1:36" hidden="1"/>
    <row r="127" spans="1:36" hidden="1"/>
    <row r="128" spans="1:36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</sheetData>
  <sheetProtection password="C1FF" sheet="1" objects="1" scenarios="1" selectLockedCells="1"/>
  <mergeCells count="134">
    <mergeCell ref="T27:AI28"/>
    <mergeCell ref="T26:AI26"/>
    <mergeCell ref="I49:L49"/>
    <mergeCell ref="E31:H31"/>
    <mergeCell ref="E45:H45"/>
    <mergeCell ref="E39:H39"/>
    <mergeCell ref="E40:H40"/>
    <mergeCell ref="I44:L44"/>
    <mergeCell ref="L53:M53"/>
    <mergeCell ref="E28:G28"/>
    <mergeCell ref="H28:L28"/>
    <mergeCell ref="I50:L50"/>
    <mergeCell ref="I41:L41"/>
    <mergeCell ref="I42:L42"/>
    <mergeCell ref="I43:L43"/>
    <mergeCell ref="I31:L31"/>
    <mergeCell ref="I32:L32"/>
    <mergeCell ref="I33:L33"/>
    <mergeCell ref="I34:L34"/>
    <mergeCell ref="I51:L51"/>
    <mergeCell ref="I38:L38"/>
    <mergeCell ref="I39:L39"/>
    <mergeCell ref="I40:L40"/>
    <mergeCell ref="E42:H42"/>
    <mergeCell ref="E43:H43"/>
    <mergeCell ref="E44:H44"/>
    <mergeCell ref="I46:L46"/>
    <mergeCell ref="I47:L47"/>
    <mergeCell ref="I48:L48"/>
    <mergeCell ref="I36:L36"/>
    <mergeCell ref="I37:L37"/>
    <mergeCell ref="E32:H32"/>
    <mergeCell ref="E33:H33"/>
    <mergeCell ref="E34:H34"/>
    <mergeCell ref="E35:H35"/>
    <mergeCell ref="E36:H36"/>
    <mergeCell ref="E37:H37"/>
    <mergeCell ref="E38:H38"/>
    <mergeCell ref="E1:H1"/>
    <mergeCell ref="F82:H82"/>
    <mergeCell ref="F83:H83"/>
    <mergeCell ref="G84:I84"/>
    <mergeCell ref="J83:L83"/>
    <mergeCell ref="J60:L60"/>
    <mergeCell ref="J61:L61"/>
    <mergeCell ref="J73:L73"/>
    <mergeCell ref="J74:L74"/>
    <mergeCell ref="F60:H60"/>
    <mergeCell ref="H64:J64"/>
    <mergeCell ref="F61:H61"/>
    <mergeCell ref="F62:H62"/>
    <mergeCell ref="F63:H63"/>
    <mergeCell ref="D5:P5"/>
    <mergeCell ref="D11:P11"/>
    <mergeCell ref="E51:H51"/>
    <mergeCell ref="E52:H52"/>
    <mergeCell ref="I35:L35"/>
    <mergeCell ref="I30:L30"/>
    <mergeCell ref="E26:L26"/>
    <mergeCell ref="I52:L52"/>
    <mergeCell ref="E30:H30"/>
    <mergeCell ref="P10:R10"/>
    <mergeCell ref="E110:AB110"/>
    <mergeCell ref="U18:V18"/>
    <mergeCell ref="Z19:AA19"/>
    <mergeCell ref="I101:S101"/>
    <mergeCell ref="I102:X102"/>
    <mergeCell ref="J103:X103"/>
    <mergeCell ref="H104:M104"/>
    <mergeCell ref="P104:X104"/>
    <mergeCell ref="G105:P105"/>
    <mergeCell ref="F90:H90"/>
    <mergeCell ref="F91:H91"/>
    <mergeCell ref="I90:K90"/>
    <mergeCell ref="I91:K91"/>
    <mergeCell ref="P95:Q95"/>
    <mergeCell ref="E88:J88"/>
    <mergeCell ref="E19:S22"/>
    <mergeCell ref="T21:Y21"/>
    <mergeCell ref="T22:Y22"/>
    <mergeCell ref="E46:H46"/>
    <mergeCell ref="E47:H47"/>
    <mergeCell ref="E48:H48"/>
    <mergeCell ref="E49:H49"/>
    <mergeCell ref="E50:H50"/>
    <mergeCell ref="E41:H41"/>
    <mergeCell ref="E109:K109"/>
    <mergeCell ref="E15:Y16"/>
    <mergeCell ref="Z83:AA83"/>
    <mergeCell ref="M61:N61"/>
    <mergeCell ref="M62:N62"/>
    <mergeCell ref="M63:N63"/>
    <mergeCell ref="M64:N64"/>
    <mergeCell ref="J62:L62"/>
    <mergeCell ref="J63:L63"/>
    <mergeCell ref="Z20:AA20"/>
    <mergeCell ref="Z21:AA21"/>
    <mergeCell ref="U19:Y19"/>
    <mergeCell ref="P64:R64"/>
    <mergeCell ref="Z22:AA22"/>
    <mergeCell ref="M60:N60"/>
    <mergeCell ref="M73:N73"/>
    <mergeCell ref="M74:N74"/>
    <mergeCell ref="X83:Y83"/>
    <mergeCell ref="P61:R61"/>
    <mergeCell ref="U20:Y20"/>
    <mergeCell ref="S84:U84"/>
    <mergeCell ref="K95:M95"/>
    <mergeCell ref="E70:K70"/>
    <mergeCell ref="E58:K58"/>
    <mergeCell ref="AB102:AC102"/>
    <mergeCell ref="AD102:AE102"/>
    <mergeCell ref="AB103:AC103"/>
    <mergeCell ref="AD103:AE103"/>
    <mergeCell ref="AB100:AF100"/>
    <mergeCell ref="P8:R8"/>
    <mergeCell ref="P6:R6"/>
    <mergeCell ref="Z16:AA16"/>
    <mergeCell ref="E100:I100"/>
    <mergeCell ref="AE83:AG83"/>
    <mergeCell ref="E80:P80"/>
    <mergeCell ref="P60:R60"/>
    <mergeCell ref="K66:M66"/>
    <mergeCell ref="T82:U82"/>
    <mergeCell ref="V82:W82"/>
    <mergeCell ref="Q83:S83"/>
    <mergeCell ref="F72:H72"/>
    <mergeCell ref="F73:H73"/>
    <mergeCell ref="F74:H74"/>
    <mergeCell ref="M72:N72"/>
    <mergeCell ref="O76:P76"/>
    <mergeCell ref="P62:R62"/>
    <mergeCell ref="P63:R63"/>
    <mergeCell ref="I45:L45"/>
  </mergeCells>
  <dataValidations count="2">
    <dataValidation type="list" allowBlank="1" showInputMessage="1" showErrorMessage="1" sqref="O76:P76 P8 Z16:AA16 Z19:AA19">
      <formula1>$AM$16:$AM$17</formula1>
    </dataValidation>
    <dataValidation type="list" allowBlank="1" showInputMessage="1" showErrorMessage="1" sqref="H28:L28">
      <formula1>$AK$29:$AK$30</formula1>
    </dataValidation>
  </dataValidations>
  <pageMargins left="0.11" right="0.3" top="0.26" bottom="0.26" header="0.19" footer="0.13"/>
  <pageSetup paperSize="9" scale="40" orientation="portrait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IV25"/>
  <sheetViews>
    <sheetView showGridLines="0" showRowColHeaders="0" workbookViewId="0">
      <selection activeCell="P13" sqref="P13"/>
    </sheetView>
  </sheetViews>
  <sheetFormatPr defaultColWidth="0" defaultRowHeight="15" customHeight="1" zeroHeight="1"/>
  <cols>
    <col min="1" max="26" width="3.140625" style="58" customWidth="1"/>
    <col min="27" max="16384" width="3.140625" style="58" hidden="1"/>
  </cols>
  <sheetData>
    <row r="1" spans="1:256" s="187" customFormat="1">
      <c r="A1" s="507"/>
      <c r="B1" s="507"/>
      <c r="C1" s="507"/>
      <c r="D1" s="507"/>
      <c r="E1" s="507"/>
      <c r="F1" s="507"/>
      <c r="G1" s="507"/>
      <c r="H1" s="507"/>
      <c r="I1" s="507"/>
      <c r="J1" s="507"/>
      <c r="K1" s="70"/>
      <c r="L1" s="70"/>
      <c r="M1" s="70"/>
      <c r="N1" s="70"/>
      <c r="O1" s="70"/>
      <c r="P1" s="508"/>
      <c r="Q1" s="508"/>
      <c r="R1" s="508"/>
      <c r="S1" s="508"/>
      <c r="T1" s="508"/>
      <c r="U1" s="508"/>
      <c r="V1" s="508"/>
      <c r="W1" s="508"/>
      <c r="X1" s="508"/>
      <c r="Y1" s="508"/>
      <c r="Z1" s="508"/>
      <c r="AA1" s="508"/>
      <c r="AB1" s="508"/>
      <c r="AC1" s="508"/>
      <c r="AD1" s="508"/>
      <c r="AE1" s="508"/>
      <c r="AF1" s="508"/>
      <c r="AG1" s="508"/>
      <c r="AH1" s="508"/>
      <c r="AI1" s="508"/>
      <c r="AJ1" s="508"/>
      <c r="AK1" s="508"/>
      <c r="AL1" s="508"/>
      <c r="AM1" s="508"/>
      <c r="AN1" s="508"/>
      <c r="AO1" s="508"/>
      <c r="AP1" s="508"/>
      <c r="AQ1" s="508"/>
      <c r="AR1" s="508"/>
      <c r="AS1" s="508"/>
      <c r="AT1" s="508"/>
      <c r="AU1" s="508"/>
      <c r="AV1" s="508"/>
      <c r="AW1" s="508"/>
      <c r="AX1" s="508"/>
      <c r="AY1" s="508"/>
      <c r="AZ1" s="508"/>
      <c r="BA1" s="508"/>
      <c r="BB1" s="508"/>
      <c r="BC1" s="508"/>
      <c r="BD1" s="508"/>
      <c r="BE1" s="508"/>
      <c r="BF1" s="508"/>
      <c r="BG1" s="508"/>
      <c r="BH1" s="508"/>
      <c r="BI1" s="508"/>
      <c r="BJ1" s="508"/>
      <c r="BK1" s="508"/>
      <c r="BL1" s="508"/>
      <c r="BM1" s="508"/>
      <c r="BN1" s="508"/>
      <c r="BO1" s="508"/>
      <c r="BP1" s="508"/>
      <c r="BQ1" s="508"/>
      <c r="BR1" s="508"/>
      <c r="BS1" s="508"/>
      <c r="BT1" s="508"/>
      <c r="BU1" s="508"/>
      <c r="BV1" s="508"/>
      <c r="BW1" s="508"/>
      <c r="BX1" s="508"/>
      <c r="BY1" s="508"/>
      <c r="BZ1" s="508"/>
      <c r="CA1" s="508"/>
      <c r="CB1" s="508"/>
      <c r="CC1" s="508"/>
      <c r="CD1" s="508"/>
      <c r="CE1" s="508"/>
      <c r="CF1" s="508"/>
      <c r="CG1" s="508"/>
      <c r="CH1" s="508"/>
      <c r="CI1" s="508"/>
      <c r="CJ1" s="508"/>
      <c r="CK1" s="508"/>
      <c r="CL1" s="508"/>
      <c r="CM1" s="508"/>
      <c r="CN1" s="508"/>
      <c r="CO1" s="508"/>
      <c r="CP1" s="508"/>
      <c r="CQ1" s="508"/>
      <c r="CR1" s="508"/>
      <c r="CS1" s="508"/>
      <c r="CT1" s="508"/>
      <c r="CU1" s="508"/>
      <c r="CV1" s="508"/>
      <c r="CW1" s="508"/>
      <c r="CX1" s="508"/>
      <c r="CY1" s="508"/>
      <c r="CZ1" s="508"/>
      <c r="DA1" s="508"/>
      <c r="DB1" s="508"/>
      <c r="DC1" s="508"/>
      <c r="DD1" s="508"/>
      <c r="DE1" s="508"/>
      <c r="DF1" s="508"/>
      <c r="DG1" s="508"/>
      <c r="DH1" s="508"/>
      <c r="DI1" s="508"/>
      <c r="DJ1" s="508"/>
      <c r="DK1" s="508"/>
      <c r="DL1" s="508"/>
      <c r="DM1" s="508"/>
      <c r="DN1" s="508"/>
      <c r="DO1" s="508"/>
      <c r="DP1" s="508"/>
      <c r="DQ1" s="508"/>
      <c r="DR1" s="508"/>
      <c r="DS1" s="508"/>
      <c r="DT1" s="508"/>
      <c r="DU1" s="508"/>
      <c r="DV1" s="508"/>
      <c r="DW1" s="508"/>
      <c r="DX1" s="508"/>
      <c r="DY1" s="508"/>
      <c r="DZ1" s="508"/>
      <c r="EA1" s="508"/>
      <c r="EB1" s="508"/>
      <c r="EC1" s="508"/>
      <c r="ED1" s="508"/>
      <c r="EE1" s="508"/>
      <c r="EF1" s="508"/>
      <c r="EG1" s="508"/>
      <c r="EH1" s="508"/>
      <c r="EI1" s="508"/>
      <c r="EJ1" s="508"/>
      <c r="EK1" s="508"/>
      <c r="EL1" s="508"/>
      <c r="EM1" s="508"/>
      <c r="EN1" s="508"/>
      <c r="EO1" s="508"/>
      <c r="EP1" s="508"/>
      <c r="EQ1" s="508"/>
      <c r="ER1" s="508"/>
      <c r="ES1" s="508"/>
      <c r="ET1" s="508"/>
      <c r="EU1" s="508"/>
      <c r="EV1" s="508"/>
      <c r="EW1" s="508"/>
      <c r="EX1" s="508"/>
      <c r="EY1" s="508"/>
      <c r="EZ1" s="508"/>
      <c r="FA1" s="508"/>
      <c r="FB1" s="508"/>
      <c r="FC1" s="508"/>
      <c r="FD1" s="508"/>
      <c r="FE1" s="508"/>
      <c r="FF1" s="508"/>
      <c r="FG1" s="508"/>
      <c r="FH1" s="508"/>
      <c r="FI1" s="508"/>
      <c r="FJ1" s="508"/>
      <c r="FK1" s="508"/>
      <c r="FL1" s="508"/>
      <c r="FM1" s="508"/>
      <c r="FN1" s="508"/>
      <c r="FO1" s="508"/>
      <c r="FP1" s="508"/>
      <c r="FQ1" s="508"/>
      <c r="FR1" s="508"/>
      <c r="FS1" s="508"/>
      <c r="FT1" s="508"/>
      <c r="FU1" s="508"/>
      <c r="FV1" s="508"/>
      <c r="FW1" s="508"/>
      <c r="FX1" s="508"/>
      <c r="FY1" s="508"/>
      <c r="FZ1" s="508"/>
      <c r="GA1" s="508"/>
      <c r="GB1" s="508"/>
      <c r="GC1" s="508"/>
      <c r="GD1" s="508"/>
      <c r="GE1" s="508"/>
      <c r="GF1" s="508"/>
      <c r="GG1" s="508"/>
      <c r="GH1" s="508"/>
      <c r="GI1" s="508"/>
      <c r="GJ1" s="508"/>
      <c r="GK1" s="508"/>
      <c r="GL1" s="508"/>
      <c r="GM1" s="508"/>
      <c r="GN1" s="508"/>
      <c r="GO1" s="508"/>
      <c r="GP1" s="508"/>
      <c r="GQ1" s="508"/>
      <c r="GR1" s="508"/>
      <c r="GS1" s="508"/>
      <c r="GT1" s="508"/>
      <c r="GU1" s="508"/>
      <c r="GV1" s="508"/>
      <c r="GW1" s="508"/>
      <c r="GX1" s="508"/>
      <c r="GY1" s="508"/>
      <c r="GZ1" s="508"/>
      <c r="HA1" s="508"/>
      <c r="HB1" s="508"/>
      <c r="HC1" s="508"/>
      <c r="HD1" s="508"/>
      <c r="HE1" s="508"/>
      <c r="HF1" s="508"/>
      <c r="HG1" s="508"/>
      <c r="HH1" s="508"/>
      <c r="HI1" s="508"/>
      <c r="HJ1" s="508"/>
      <c r="HK1" s="508"/>
      <c r="HL1" s="508"/>
      <c r="HM1" s="508"/>
      <c r="HN1" s="508"/>
      <c r="HO1" s="508"/>
      <c r="HP1" s="508"/>
      <c r="HQ1" s="508"/>
      <c r="HR1" s="508"/>
      <c r="HS1" s="508"/>
      <c r="HT1" s="508"/>
      <c r="HU1" s="508"/>
      <c r="HV1" s="508"/>
      <c r="HW1" s="508"/>
      <c r="HX1" s="508"/>
      <c r="HY1" s="508"/>
      <c r="HZ1" s="508"/>
      <c r="IA1" s="508"/>
      <c r="IB1" s="508"/>
      <c r="IC1" s="508"/>
      <c r="ID1" s="508"/>
      <c r="IE1" s="508"/>
      <c r="IF1" s="508"/>
      <c r="IG1" s="508"/>
      <c r="IH1" s="508"/>
      <c r="II1" s="508"/>
      <c r="IJ1" s="508"/>
      <c r="IK1" s="508"/>
      <c r="IL1" s="508"/>
      <c r="IM1" s="508"/>
      <c r="IN1" s="508"/>
      <c r="IO1" s="508"/>
      <c r="IP1" s="508"/>
      <c r="IQ1" s="508"/>
      <c r="IR1" s="508"/>
      <c r="IS1" s="508"/>
      <c r="IT1" s="508"/>
      <c r="IU1" s="508"/>
      <c r="IV1" s="508"/>
    </row>
    <row r="2" spans="1:256" s="57" customFormat="1" ht="9" customHeight="1"/>
    <row r="3" spans="1:256" s="57" customFormat="1"/>
    <row r="4" spans="1:256" s="57" customFormat="1"/>
    <row r="5" spans="1:256" s="57" customFormat="1"/>
    <row r="6" spans="1:256" s="57" customFormat="1"/>
    <row r="7" spans="1:256" s="57" customFormat="1" ht="9.75" customHeight="1"/>
    <row r="8" spans="1:256" ht="5.25" customHeight="1">
      <c r="A8" s="70"/>
      <c r="B8" s="70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</row>
    <row r="9" spans="1:256" s="509" customFormat="1">
      <c r="A9" s="509" t="s">
        <v>95</v>
      </c>
    </row>
    <row r="10" spans="1:256">
      <c r="A10" s="70"/>
      <c r="B10" s="70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</row>
    <row r="11" spans="1:256">
      <c r="A11" s="70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</row>
    <row r="12" spans="1:256">
      <c r="A12" s="70"/>
      <c r="B12" s="70"/>
      <c r="C12" s="70"/>
      <c r="D12" s="70"/>
      <c r="E12" s="70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0"/>
      <c r="T12" s="70"/>
      <c r="U12" s="70"/>
      <c r="V12" s="70"/>
      <c r="W12" s="70"/>
      <c r="X12" s="70"/>
      <c r="Y12" s="70"/>
      <c r="Z12" s="70"/>
    </row>
    <row r="13" spans="1:256">
      <c r="A13" s="70"/>
      <c r="B13" s="70"/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</row>
    <row r="14" spans="1:256">
      <c r="A14" s="70"/>
      <c r="B14" s="70"/>
      <c r="C14" s="70"/>
      <c r="D14" s="70"/>
      <c r="E14" s="70"/>
      <c r="F14" s="71"/>
      <c r="G14" s="71"/>
      <c r="H14" s="71"/>
      <c r="I14" s="71"/>
      <c r="J14" s="71"/>
      <c r="K14" s="71"/>
      <c r="L14" s="71"/>
      <c r="M14" s="71"/>
      <c r="N14" s="71"/>
      <c r="O14" s="71"/>
      <c r="P14" s="71"/>
      <c r="Q14" s="71"/>
      <c r="R14" s="71"/>
      <c r="S14" s="70"/>
      <c r="T14" s="70"/>
      <c r="U14" s="70"/>
      <c r="V14" s="70"/>
      <c r="W14" s="70"/>
      <c r="X14" s="70"/>
      <c r="Y14" s="70"/>
      <c r="Z14" s="70"/>
    </row>
    <row r="15" spans="1:256">
      <c r="A15" s="70"/>
      <c r="B15" s="70"/>
      <c r="C15" s="70"/>
      <c r="D15" s="70"/>
      <c r="E15" s="70"/>
      <c r="F15" s="70"/>
      <c r="G15" s="70"/>
      <c r="H15" s="70"/>
      <c r="I15" s="70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</row>
    <row r="16" spans="1:256">
      <c r="A16" s="70"/>
      <c r="B16" s="70"/>
      <c r="C16" s="70"/>
      <c r="D16" s="70"/>
      <c r="E16" s="70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1"/>
      <c r="S16" s="70"/>
      <c r="T16" s="70"/>
      <c r="U16" s="70"/>
      <c r="V16" s="70"/>
      <c r="W16" s="70"/>
      <c r="X16" s="70"/>
      <c r="Y16" s="70"/>
      <c r="Z16" s="70"/>
    </row>
    <row r="17" spans="1:26">
      <c r="A17" s="70"/>
      <c r="B17" s="70"/>
      <c r="C17" s="70"/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</row>
    <row r="18" spans="1:26">
      <c r="A18" s="70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</row>
    <row r="19" spans="1:26">
      <c r="A19" s="70"/>
      <c r="B19" s="70"/>
      <c r="C19" s="70"/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</row>
    <row r="20" spans="1:26">
      <c r="A20" s="70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</row>
    <row r="21" spans="1:26">
      <c r="A21" s="70"/>
      <c r="B21" s="70"/>
      <c r="C21" s="70"/>
      <c r="D21" s="70"/>
      <c r="E21" s="70"/>
      <c r="F21" s="70"/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</row>
    <row r="22" spans="1:26">
      <c r="A22" s="70"/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</row>
    <row r="23" spans="1:26">
      <c r="A23" s="70"/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</row>
    <row r="24" spans="1:26" ht="18.75" customHeight="1">
      <c r="A24" s="502" t="str">
        <f>Menu!A31</f>
        <v>Planilha+ 5.1.2   .:.   Acácio Jr Tecnol  .:.    Última atualização: 24/02/2017  -  único@acaciojunior.com</v>
      </c>
      <c r="B24" s="502"/>
      <c r="C24" s="502"/>
      <c r="D24" s="502"/>
      <c r="E24" s="502"/>
      <c r="F24" s="502"/>
      <c r="G24" s="502"/>
      <c r="H24" s="502"/>
      <c r="I24" s="502"/>
      <c r="J24" s="502"/>
      <c r="K24" s="502"/>
      <c r="L24" s="502"/>
      <c r="M24" s="502"/>
      <c r="N24" s="502"/>
      <c r="O24" s="502"/>
      <c r="P24" s="502"/>
      <c r="Q24" s="502"/>
      <c r="R24" s="502"/>
      <c r="S24" s="502"/>
      <c r="T24" s="502"/>
      <c r="U24" s="502"/>
      <c r="V24" s="502"/>
      <c r="W24" s="502"/>
      <c r="X24" s="502"/>
      <c r="Y24" s="502"/>
      <c r="Z24" s="502"/>
    </row>
    <row r="25" spans="1:26" ht="15" hidden="1" customHeight="1">
      <c r="A25" s="58" t="s">
        <v>169</v>
      </c>
    </row>
  </sheetData>
  <sheetProtection password="C1FF" sheet="1" objects="1" scenarios="1" selectLockedCells="1" selectUnlockedCells="1"/>
  <mergeCells count="4">
    <mergeCell ref="A1:J1"/>
    <mergeCell ref="P1:IV1"/>
    <mergeCell ref="A9:XFD9"/>
    <mergeCell ref="A24:Z24"/>
  </mergeCells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/>
  <dimension ref="A1:Q68"/>
  <sheetViews>
    <sheetView showRowColHeaders="0" workbookViewId="0"/>
  </sheetViews>
  <sheetFormatPr defaultColWidth="0" defaultRowHeight="15" zeroHeight="1"/>
  <cols>
    <col min="1" max="17" width="9.140625" customWidth="1"/>
    <col min="18" max="16384" width="9.140625" hidden="1"/>
  </cols>
  <sheetData>
    <row r="1" spans="11:17">
      <c r="K1" s="485"/>
      <c r="L1" s="485"/>
      <c r="M1" s="485" t="s">
        <v>234</v>
      </c>
      <c r="N1" s="485"/>
      <c r="O1" s="485"/>
      <c r="P1" s="485"/>
      <c r="Q1" s="485"/>
    </row>
    <row r="2" spans="11:17">
      <c r="K2" s="485"/>
      <c r="L2" s="485"/>
      <c r="M2" s="510" t="s">
        <v>235</v>
      </c>
      <c r="N2" s="510"/>
      <c r="O2" s="510"/>
      <c r="P2" s="485"/>
      <c r="Q2" s="485"/>
    </row>
    <row r="3" spans="11:17">
      <c r="K3" s="485"/>
      <c r="L3" s="485"/>
      <c r="M3" s="510" t="s">
        <v>236</v>
      </c>
      <c r="N3" s="510"/>
      <c r="O3" s="510"/>
      <c r="P3" s="485"/>
      <c r="Q3" s="485"/>
    </row>
    <row r="4" spans="11:17">
      <c r="K4" s="485"/>
      <c r="L4" s="485"/>
      <c r="M4" s="485"/>
      <c r="N4" s="485"/>
      <c r="O4" s="485"/>
      <c r="P4" s="485"/>
      <c r="Q4" s="485"/>
    </row>
    <row r="5" spans="11:17">
      <c r="K5" s="485"/>
      <c r="L5" s="485"/>
      <c r="M5" s="485"/>
      <c r="N5" s="485"/>
      <c r="O5" s="485"/>
      <c r="P5" s="485"/>
      <c r="Q5" s="485"/>
    </row>
    <row r="6" spans="11:17">
      <c r="K6" s="485"/>
      <c r="L6" s="485"/>
      <c r="M6" s="485"/>
      <c r="N6" s="485"/>
      <c r="O6" s="485"/>
      <c r="P6" s="485"/>
      <c r="Q6" s="485"/>
    </row>
    <row r="7" spans="11:17">
      <c r="K7" s="485"/>
      <c r="L7" s="485"/>
      <c r="M7" s="485"/>
      <c r="N7" s="485"/>
      <c r="O7" s="485"/>
      <c r="P7" s="485"/>
      <c r="Q7" s="485"/>
    </row>
    <row r="8" spans="11:17">
      <c r="K8" s="485"/>
      <c r="L8" s="485"/>
      <c r="M8" s="485"/>
      <c r="N8" s="485"/>
      <c r="O8" s="485"/>
      <c r="P8" s="485"/>
      <c r="Q8" s="485"/>
    </row>
    <row r="9" spans="11:17">
      <c r="K9" s="485"/>
      <c r="L9" s="485"/>
      <c r="M9" s="485"/>
      <c r="N9" s="485"/>
      <c r="O9" s="485"/>
      <c r="P9" s="485"/>
      <c r="Q9" s="485"/>
    </row>
    <row r="10" spans="11:17">
      <c r="K10" s="485"/>
      <c r="L10" s="485"/>
      <c r="M10" s="485"/>
      <c r="N10" s="485"/>
      <c r="O10" s="485"/>
      <c r="P10" s="485"/>
      <c r="Q10" s="485"/>
    </row>
    <row r="11" spans="11:17">
      <c r="K11" s="485"/>
      <c r="L11" s="485"/>
      <c r="M11" s="485"/>
      <c r="N11" s="485"/>
      <c r="O11" s="485"/>
      <c r="P11" s="485"/>
      <c r="Q11" s="485"/>
    </row>
    <row r="12" spans="11:17">
      <c r="K12" s="485"/>
      <c r="L12" s="485"/>
      <c r="M12" s="485"/>
      <c r="N12" s="485"/>
      <c r="O12" s="485"/>
      <c r="P12" s="485"/>
      <c r="Q12" s="485"/>
    </row>
    <row r="13" spans="11:17">
      <c r="K13" s="485"/>
      <c r="L13" s="485"/>
      <c r="M13" s="485"/>
      <c r="N13" s="485"/>
      <c r="O13" s="485"/>
      <c r="P13" s="485"/>
      <c r="Q13" s="485"/>
    </row>
    <row r="14" spans="11:17">
      <c r="K14" s="485"/>
      <c r="L14" s="485"/>
      <c r="M14" s="485"/>
      <c r="N14" s="485"/>
      <c r="O14" s="485"/>
      <c r="P14" s="485"/>
      <c r="Q14" s="485"/>
    </row>
    <row r="15" spans="11:17">
      <c r="K15" s="485"/>
      <c r="L15" s="485"/>
      <c r="M15" s="485"/>
      <c r="N15" s="485"/>
      <c r="O15" s="485"/>
      <c r="P15" s="485"/>
      <c r="Q15" s="485"/>
    </row>
    <row r="16" spans="11:17">
      <c r="K16" s="485"/>
      <c r="L16" s="485"/>
      <c r="M16" s="485"/>
      <c r="N16" s="485"/>
      <c r="O16" s="485"/>
      <c r="P16" s="485"/>
      <c r="Q16" s="485"/>
    </row>
    <row r="17" spans="11:17">
      <c r="K17" s="485"/>
      <c r="L17" s="485"/>
      <c r="M17" s="485"/>
      <c r="N17" s="485"/>
      <c r="O17" s="485"/>
      <c r="P17" s="485"/>
      <c r="Q17" s="485"/>
    </row>
    <row r="18" spans="11:17">
      <c r="K18" s="485"/>
      <c r="L18" s="485"/>
      <c r="M18" s="485"/>
      <c r="N18" s="485"/>
      <c r="O18" s="485"/>
      <c r="P18" s="485"/>
      <c r="Q18" s="485"/>
    </row>
    <row r="19" spans="11:17">
      <c r="K19" s="485"/>
      <c r="L19" s="485"/>
      <c r="M19" s="485"/>
      <c r="N19" s="485"/>
      <c r="O19" s="485"/>
      <c r="P19" s="485"/>
      <c r="Q19" s="485"/>
    </row>
    <row r="20" spans="11:17">
      <c r="K20" s="485"/>
      <c r="L20" s="485"/>
      <c r="M20" s="485"/>
      <c r="N20" s="485"/>
      <c r="O20" s="485"/>
      <c r="P20" s="485"/>
      <c r="Q20" s="485"/>
    </row>
    <row r="21" spans="11:17">
      <c r="K21" s="485"/>
      <c r="L21" s="485"/>
      <c r="M21" s="485"/>
      <c r="N21" s="485"/>
      <c r="O21" s="485"/>
      <c r="P21" s="485"/>
      <c r="Q21" s="485"/>
    </row>
    <row r="22" spans="11:17">
      <c r="K22" s="485"/>
      <c r="L22" s="485"/>
      <c r="M22" s="485"/>
      <c r="N22" s="485"/>
      <c r="O22" s="485"/>
      <c r="P22" s="485"/>
      <c r="Q22" s="485"/>
    </row>
    <row r="23" spans="11:17">
      <c r="K23" s="485"/>
      <c r="L23" s="485"/>
      <c r="M23" s="485"/>
      <c r="N23" s="485"/>
      <c r="O23" s="485"/>
      <c r="P23" s="485"/>
      <c r="Q23" s="485"/>
    </row>
    <row r="24" spans="11:17">
      <c r="K24" s="485"/>
      <c r="L24" s="485"/>
      <c r="M24" s="485"/>
      <c r="N24" s="485"/>
      <c r="O24" s="485"/>
      <c r="P24" s="485"/>
      <c r="Q24" s="485"/>
    </row>
    <row r="25" spans="11:17">
      <c r="K25" s="485"/>
      <c r="L25" s="485"/>
      <c r="M25" s="485"/>
      <c r="N25" s="485"/>
      <c r="O25" s="485"/>
      <c r="P25" s="485"/>
      <c r="Q25" s="485"/>
    </row>
    <row r="26" spans="11:17">
      <c r="K26" s="485"/>
      <c r="L26" s="485"/>
      <c r="M26" s="485"/>
      <c r="N26" s="485"/>
      <c r="O26" s="485"/>
      <c r="P26" s="485"/>
      <c r="Q26" s="485"/>
    </row>
    <row r="27" spans="11:17">
      <c r="K27" s="485"/>
      <c r="L27" s="485"/>
      <c r="M27" s="485"/>
      <c r="N27" s="485"/>
      <c r="O27" s="485"/>
      <c r="P27" s="485"/>
      <c r="Q27" s="485"/>
    </row>
    <row r="28" spans="11:17">
      <c r="K28" s="485"/>
      <c r="L28" s="485"/>
      <c r="M28" s="485"/>
      <c r="N28" s="485"/>
      <c r="O28" s="485"/>
      <c r="P28" s="485"/>
      <c r="Q28" s="485"/>
    </row>
    <row r="29" spans="11:17">
      <c r="K29" s="485"/>
      <c r="L29" s="485"/>
      <c r="M29" s="485"/>
      <c r="N29" s="485"/>
      <c r="O29" s="485"/>
      <c r="P29" s="485"/>
      <c r="Q29" s="485"/>
    </row>
    <row r="30" spans="11:17">
      <c r="K30" s="485"/>
      <c r="L30" s="485"/>
      <c r="M30" s="485"/>
      <c r="N30" s="485"/>
      <c r="O30" s="485"/>
      <c r="P30" s="485"/>
      <c r="Q30" s="485"/>
    </row>
    <row r="31" spans="11:17">
      <c r="K31" s="485"/>
      <c r="L31" s="485"/>
      <c r="M31" s="485"/>
      <c r="N31" s="485"/>
      <c r="O31" s="485"/>
      <c r="P31" s="485"/>
      <c r="Q31" s="485"/>
    </row>
    <row r="32" spans="11:17">
      <c r="K32" s="485"/>
      <c r="L32" s="485"/>
      <c r="M32" s="485"/>
      <c r="N32" s="485"/>
      <c r="O32" s="485"/>
      <c r="P32" s="485"/>
      <c r="Q32" s="485"/>
    </row>
    <row r="33" spans="1:17">
      <c r="K33" s="485"/>
      <c r="L33" s="485"/>
      <c r="M33" s="485"/>
      <c r="N33" s="485"/>
      <c r="O33" s="485"/>
      <c r="P33" s="485"/>
      <c r="Q33" s="485"/>
    </row>
    <row r="34" spans="1:17">
      <c r="K34" s="485"/>
      <c r="L34" s="485"/>
      <c r="M34" s="485"/>
      <c r="N34" s="485"/>
      <c r="O34" s="485"/>
      <c r="P34" s="485"/>
      <c r="Q34" s="485"/>
    </row>
    <row r="35" spans="1:17">
      <c r="K35" s="485"/>
      <c r="L35" s="485"/>
      <c r="M35" s="485"/>
      <c r="N35" s="485"/>
      <c r="O35" s="485"/>
      <c r="P35" s="485"/>
      <c r="Q35" s="485"/>
    </row>
    <row r="36" spans="1:17">
      <c r="K36" s="485"/>
      <c r="L36" s="485"/>
      <c r="M36" s="485"/>
      <c r="N36" s="485"/>
      <c r="O36" s="485"/>
      <c r="P36" s="485"/>
      <c r="Q36" s="485"/>
    </row>
    <row r="37" spans="1:17">
      <c r="K37" s="485"/>
      <c r="L37" s="485"/>
      <c r="M37" s="485"/>
      <c r="N37" s="485"/>
      <c r="O37" s="485"/>
      <c r="P37" s="485"/>
      <c r="Q37" s="485"/>
    </row>
    <row r="38" spans="1:17">
      <c r="K38" s="485"/>
      <c r="L38" s="485"/>
      <c r="M38" s="485"/>
      <c r="N38" s="485"/>
      <c r="O38" s="485"/>
      <c r="P38" s="485"/>
      <c r="Q38" s="485"/>
    </row>
    <row r="39" spans="1:17">
      <c r="K39" s="485"/>
      <c r="L39" s="485"/>
      <c r="M39" s="485"/>
      <c r="N39" s="485"/>
      <c r="O39" s="485"/>
      <c r="P39" s="485"/>
      <c r="Q39" s="485"/>
    </row>
    <row r="40" spans="1:17">
      <c r="K40" s="485"/>
      <c r="L40" s="485"/>
      <c r="M40" s="485"/>
      <c r="N40" s="485"/>
      <c r="O40" s="485"/>
      <c r="P40" s="485"/>
      <c r="Q40" s="485"/>
    </row>
    <row r="41" spans="1:17">
      <c r="A41" s="485"/>
      <c r="B41" s="485"/>
      <c r="C41" s="485"/>
      <c r="D41" s="485"/>
      <c r="E41" s="485"/>
      <c r="F41" s="485"/>
      <c r="G41" s="485"/>
      <c r="H41" s="485"/>
      <c r="I41" s="485"/>
      <c r="J41" s="485"/>
      <c r="K41" s="485"/>
      <c r="L41" s="485"/>
      <c r="M41" s="485"/>
      <c r="N41" s="485"/>
      <c r="O41" s="485"/>
      <c r="P41" s="485"/>
      <c r="Q41" s="485"/>
    </row>
    <row r="42" spans="1:17">
      <c r="A42" s="485"/>
      <c r="B42" s="485"/>
      <c r="C42" s="485"/>
      <c r="D42" s="485"/>
      <c r="E42" s="485"/>
      <c r="F42" s="485"/>
      <c r="G42" s="485"/>
      <c r="H42" s="485"/>
      <c r="I42" s="485"/>
      <c r="J42" s="485"/>
      <c r="K42" s="485"/>
      <c r="L42" s="485"/>
      <c r="M42" s="485"/>
      <c r="N42" s="485"/>
      <c r="O42" s="485"/>
      <c r="P42" s="485"/>
      <c r="Q42" s="485"/>
    </row>
    <row r="43" spans="1:17">
      <c r="Q43" s="485"/>
    </row>
    <row r="44" spans="1:17">
      <c r="Q44" s="485"/>
    </row>
    <row r="45" spans="1:17">
      <c r="Q45" s="485"/>
    </row>
    <row r="46" spans="1:17">
      <c r="Q46" s="485"/>
    </row>
    <row r="47" spans="1:17">
      <c r="Q47" s="485"/>
    </row>
    <row r="48" spans="1:17">
      <c r="Q48" s="485"/>
    </row>
    <row r="49" spans="17:17">
      <c r="Q49" s="485"/>
    </row>
    <row r="50" spans="17:17">
      <c r="Q50" s="485"/>
    </row>
    <row r="51" spans="17:17">
      <c r="Q51" s="485"/>
    </row>
    <row r="52" spans="17:17">
      <c r="Q52" s="485"/>
    </row>
    <row r="53" spans="17:17">
      <c r="Q53" s="485"/>
    </row>
    <row r="54" spans="17:17">
      <c r="Q54" s="485"/>
    </row>
    <row r="55" spans="17:17">
      <c r="Q55" s="485"/>
    </row>
    <row r="56" spans="17:17">
      <c r="Q56" s="485"/>
    </row>
    <row r="57" spans="17:17">
      <c r="Q57" s="485"/>
    </row>
    <row r="58" spans="17:17">
      <c r="Q58" s="485"/>
    </row>
    <row r="59" spans="17:17">
      <c r="Q59" s="485"/>
    </row>
    <row r="60" spans="17:17">
      <c r="Q60" s="485"/>
    </row>
    <row r="61" spans="17:17">
      <c r="Q61" s="485"/>
    </row>
    <row r="62" spans="17:17">
      <c r="Q62" s="485"/>
    </row>
    <row r="63" spans="17:17">
      <c r="Q63" s="485"/>
    </row>
    <row r="64" spans="17:17">
      <c r="Q64" s="485"/>
    </row>
    <row r="65" spans="1:17">
      <c r="Q65" s="485"/>
    </row>
    <row r="66" spans="1:17">
      <c r="Q66" s="485"/>
    </row>
    <row r="67" spans="1:17">
      <c r="A67" s="485"/>
      <c r="B67" s="485"/>
      <c r="C67" s="485"/>
      <c r="D67" s="485"/>
      <c r="E67" s="485"/>
      <c r="F67" s="485"/>
      <c r="G67" s="485"/>
      <c r="H67" s="485"/>
      <c r="I67" s="485"/>
      <c r="J67" s="485"/>
      <c r="K67" s="485"/>
      <c r="L67" s="485"/>
      <c r="M67" s="485"/>
      <c r="N67" s="485"/>
      <c r="O67" s="485"/>
      <c r="P67" s="485"/>
      <c r="Q67" s="485"/>
    </row>
    <row r="68" spans="1:17">
      <c r="A68" s="485"/>
      <c r="B68" s="485"/>
      <c r="C68" s="485"/>
      <c r="D68" s="485"/>
      <c r="E68" s="485"/>
      <c r="F68" s="485"/>
      <c r="G68" s="485"/>
      <c r="H68" s="485"/>
      <c r="I68" s="485"/>
      <c r="J68" s="485"/>
      <c r="K68" s="485"/>
      <c r="L68" s="485"/>
      <c r="M68" s="485"/>
      <c r="N68" s="485"/>
      <c r="O68" s="485"/>
      <c r="P68" s="485"/>
      <c r="Q68" s="485"/>
    </row>
  </sheetData>
  <sheetProtection password="C1FF" sheet="1" objects="1" scenarios="1"/>
  <mergeCells count="2">
    <mergeCell ref="M2:O2"/>
    <mergeCell ref="M3:O3"/>
  </mergeCells>
  <hyperlinks>
    <hyperlink ref="M2" r:id="rId1"/>
    <hyperlink ref="M3" r:id="rId2"/>
  </hyperlinks>
  <pageMargins left="0.511811024" right="0.511811024" top="0.78740157499999996" bottom="0.78740157499999996" header="0.31496062000000002" footer="0.3149606200000000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>
    <pageSetUpPr fitToPage="1"/>
  </sheetPr>
  <dimension ref="A1:AC56"/>
  <sheetViews>
    <sheetView showGridLines="0" showRowColHeaders="0" workbookViewId="0">
      <selection activeCell="H6" sqref="H6:O6"/>
    </sheetView>
  </sheetViews>
  <sheetFormatPr defaultColWidth="0" defaultRowHeight="18.75" zeroHeight="1"/>
  <cols>
    <col min="1" max="6" width="5" style="2" customWidth="1"/>
    <col min="7" max="7" width="6.42578125" style="2" customWidth="1"/>
    <col min="8" max="13" width="5" style="2" customWidth="1"/>
    <col min="14" max="14" width="4.42578125" style="2" customWidth="1"/>
    <col min="15" max="15" width="3.7109375" style="2" customWidth="1"/>
    <col min="16" max="16" width="5.28515625" style="2" customWidth="1"/>
    <col min="17" max="17" width="6" style="2" customWidth="1"/>
    <col min="18" max="18" width="14" style="2" customWidth="1"/>
    <col min="19" max="19" width="11.85546875" style="2" customWidth="1"/>
    <col min="20" max="20" width="8.5703125" style="2" customWidth="1"/>
    <col min="21" max="21" width="7.42578125" style="2" customWidth="1"/>
    <col min="22" max="22" width="37.5703125" style="2" hidden="1" customWidth="1"/>
    <col min="23" max="23" width="10.42578125" style="2" hidden="1" customWidth="1"/>
    <col min="24" max="24" width="23.5703125" style="2" hidden="1" customWidth="1"/>
    <col min="25" max="29" width="0" style="2" hidden="1" customWidth="1"/>
    <col min="30" max="16384" width="9.140625" style="2" hidden="1"/>
  </cols>
  <sheetData>
    <row r="1" spans="1:29">
      <c r="A1" s="72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517" t="s">
        <v>132</v>
      </c>
      <c r="O1" s="517"/>
      <c r="P1" s="517"/>
      <c r="Q1" s="517"/>
      <c r="R1" s="517"/>
      <c r="S1" s="517"/>
      <c r="T1" s="517"/>
      <c r="U1" s="60"/>
      <c r="W1" s="1" t="s">
        <v>38</v>
      </c>
      <c r="X1" s="1" t="s">
        <v>35</v>
      </c>
      <c r="Z1" s="483" t="s">
        <v>225</v>
      </c>
      <c r="AA1" s="483"/>
      <c r="AB1" s="483"/>
      <c r="AC1" s="483"/>
    </row>
    <row r="2" spans="1:29">
      <c r="A2" s="72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517"/>
      <c r="O2" s="517"/>
      <c r="P2" s="517"/>
      <c r="Q2" s="517"/>
      <c r="R2" s="517"/>
      <c r="S2" s="517"/>
      <c r="T2" s="517"/>
      <c r="U2" s="60"/>
      <c r="W2" s="1" t="s">
        <v>30</v>
      </c>
      <c r="X2" s="1" t="s">
        <v>36</v>
      </c>
      <c r="Z2" s="483" t="s">
        <v>226</v>
      </c>
      <c r="AA2" s="483"/>
      <c r="AB2" s="483"/>
      <c r="AC2" s="483"/>
    </row>
    <row r="3" spans="1:29" ht="26.25">
      <c r="A3" s="72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18" t="str">
        <f>config!I101</f>
        <v>FECOMERCIÁRIOS</v>
      </c>
      <c r="O3" s="518"/>
      <c r="P3" s="518"/>
      <c r="Q3" s="518"/>
      <c r="R3" s="518"/>
      <c r="S3" s="518"/>
      <c r="T3" s="518"/>
      <c r="U3" s="60"/>
      <c r="W3" s="1" t="s">
        <v>31</v>
      </c>
      <c r="X3" s="1" t="s">
        <v>37</v>
      </c>
      <c r="Z3" s="483" t="s">
        <v>227</v>
      </c>
      <c r="AA3" s="483"/>
      <c r="AB3" s="483"/>
      <c r="AC3" s="483"/>
    </row>
    <row r="4" spans="1:29" ht="4.5" customHeight="1">
      <c r="A4" s="72"/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60"/>
      <c r="Z4" s="483" t="s">
        <v>228</v>
      </c>
      <c r="AA4" s="483"/>
      <c r="AB4" s="483"/>
      <c r="AC4" s="483"/>
    </row>
    <row r="5" spans="1:29" ht="4.5" customHeight="1">
      <c r="A5" s="512"/>
      <c r="B5" s="512"/>
      <c r="C5" s="512"/>
      <c r="D5" s="512"/>
      <c r="E5" s="512"/>
      <c r="F5" s="512"/>
      <c r="G5" s="512"/>
      <c r="H5" s="512"/>
      <c r="I5" s="512"/>
      <c r="J5" s="512"/>
      <c r="K5" s="512"/>
      <c r="L5" s="512"/>
      <c r="M5" s="512"/>
      <c r="N5" s="512"/>
      <c r="O5" s="512"/>
      <c r="P5" s="512"/>
      <c r="Q5" s="512"/>
      <c r="R5" s="512"/>
      <c r="S5" s="512"/>
      <c r="T5" s="512"/>
      <c r="U5" s="512"/>
    </row>
    <row r="6" spans="1:29" ht="17.25" customHeight="1">
      <c r="A6" s="60"/>
      <c r="B6" s="513" t="s">
        <v>34</v>
      </c>
      <c r="C6" s="513"/>
      <c r="D6" s="513"/>
      <c r="E6" s="513"/>
      <c r="F6" s="513"/>
      <c r="G6" s="513"/>
      <c r="H6" s="519"/>
      <c r="I6" s="519"/>
      <c r="J6" s="519"/>
      <c r="K6" s="519"/>
      <c r="L6" s="519"/>
      <c r="M6" s="519"/>
      <c r="N6" s="519"/>
      <c r="O6" s="519"/>
      <c r="P6" s="60"/>
      <c r="Q6" s="73" t="str">
        <f>IF(H6="Pedido de demissão",IF(H10&gt;0,IF(H12&gt;0,"Dias de aviso cumprido:",""),""),"")</f>
        <v/>
      </c>
      <c r="R6" s="60"/>
      <c r="S6" s="366" t="str">
        <f>IF(H6="Pedido de demissão",IF(H10&gt;0,IF(H12&gt;0,H12-H10,""),""),"")</f>
        <v/>
      </c>
      <c r="T6" s="60"/>
      <c r="U6" s="60"/>
    </row>
    <row r="7" spans="1:29" ht="2.25" customHeight="1">
      <c r="A7" s="512"/>
      <c r="B7" s="512"/>
      <c r="C7" s="512"/>
      <c r="D7" s="512"/>
      <c r="E7" s="512"/>
      <c r="F7" s="512"/>
      <c r="G7" s="512"/>
      <c r="H7" s="512"/>
      <c r="I7" s="512"/>
      <c r="J7" s="512"/>
      <c r="K7" s="512"/>
      <c r="L7" s="512"/>
      <c r="M7" s="512"/>
      <c r="N7" s="512"/>
      <c r="O7" s="512"/>
      <c r="P7" s="512"/>
      <c r="Q7" s="512"/>
      <c r="R7" s="512"/>
      <c r="S7" s="512"/>
      <c r="T7" s="512"/>
      <c r="U7" s="512"/>
    </row>
    <row r="8" spans="1:29" ht="17.25" customHeight="1">
      <c r="A8" s="60"/>
      <c r="B8" s="513" t="s">
        <v>2</v>
      </c>
      <c r="C8" s="513"/>
      <c r="D8" s="513"/>
      <c r="E8" s="513"/>
      <c r="F8" s="513"/>
      <c r="G8" s="513"/>
      <c r="H8" s="514"/>
      <c r="I8" s="514"/>
      <c r="J8" s="514"/>
      <c r="K8" s="244" t="s">
        <v>53</v>
      </c>
      <c r="L8" s="74"/>
      <c r="M8" s="60"/>
      <c r="N8" s="74"/>
      <c r="O8" s="74"/>
      <c r="P8" s="60"/>
      <c r="Q8" s="60"/>
      <c r="R8" s="364"/>
      <c r="S8" s="364"/>
      <c r="T8" s="365">
        <f>IF(H6="",0,H12-H10)</f>
        <v>0</v>
      </c>
      <c r="U8" s="60"/>
    </row>
    <row r="9" spans="1:29" s="60" customFormat="1" ht="2.25" customHeight="1">
      <c r="B9" s="229"/>
      <c r="C9" s="229"/>
      <c r="D9" s="229"/>
      <c r="E9" s="229"/>
      <c r="F9" s="229"/>
      <c r="G9" s="229"/>
      <c r="H9" s="230"/>
      <c r="I9" s="230"/>
      <c r="J9" s="230"/>
      <c r="K9" s="245"/>
      <c r="L9" s="231"/>
      <c r="M9" s="232"/>
      <c r="N9" s="231"/>
      <c r="O9" s="231"/>
      <c r="P9" s="232"/>
      <c r="Q9" s="232"/>
      <c r="R9" s="232"/>
      <c r="S9" s="232"/>
    </row>
    <row r="10" spans="1:29" ht="17.25" customHeight="1">
      <c r="A10" s="60"/>
      <c r="B10" s="214"/>
      <c r="C10" s="214"/>
      <c r="D10" s="214"/>
      <c r="E10" s="214"/>
      <c r="F10" s="214"/>
      <c r="G10" s="243" t="s">
        <v>156</v>
      </c>
      <c r="H10" s="514"/>
      <c r="I10" s="514"/>
      <c r="J10" s="514"/>
      <c r="K10" s="246" t="s">
        <v>157</v>
      </c>
      <c r="L10" s="213"/>
      <c r="M10" s="60"/>
      <c r="N10" s="218" t="str">
        <f>IF(P10="","",IF(H6="Dispensa sem justa causa","Direito á",""))</f>
        <v/>
      </c>
      <c r="O10" s="218"/>
      <c r="P10" s="222" t="str">
        <f>IF(H6="Dispensa sem justa causa",IF(H8&gt;0,IF(H10&gt;0,IF(calculo!AI8+30&lt;=90,calculo!AI8+30,90),""),""),"")</f>
        <v/>
      </c>
      <c r="Q10" s="218" t="str">
        <f>IF(P10="","",IF(H6="Dispensa sem justa causa","dias de aviso prévio (trabalhado ou indenizado)",""))</f>
        <v/>
      </c>
      <c r="R10" s="60"/>
      <c r="S10" s="218"/>
      <c r="T10" s="60"/>
      <c r="U10" s="60"/>
    </row>
    <row r="11" spans="1:29" ht="2.25" customHeight="1">
      <c r="A11" s="512"/>
      <c r="B11" s="512"/>
      <c r="C11" s="512"/>
      <c r="D11" s="512"/>
      <c r="E11" s="512"/>
      <c r="F11" s="512"/>
      <c r="G11" s="512"/>
      <c r="H11" s="512"/>
      <c r="I11" s="512"/>
      <c r="J11" s="512"/>
      <c r="K11" s="512"/>
      <c r="L11" s="512"/>
      <c r="M11" s="512"/>
      <c r="N11" s="512"/>
      <c r="O11" s="512"/>
      <c r="P11" s="512"/>
      <c r="Q11" s="512"/>
      <c r="R11" s="512"/>
      <c r="S11" s="512"/>
      <c r="T11" s="512"/>
      <c r="U11" s="512"/>
    </row>
    <row r="12" spans="1:29" ht="17.25" customHeight="1">
      <c r="A12" s="60"/>
      <c r="B12" s="513" t="s">
        <v>155</v>
      </c>
      <c r="C12" s="513"/>
      <c r="D12" s="513"/>
      <c r="E12" s="513"/>
      <c r="F12" s="513"/>
      <c r="G12" s="513"/>
      <c r="H12" s="514"/>
      <c r="I12" s="514"/>
      <c r="J12" s="514"/>
      <c r="K12" s="246" t="s">
        <v>157</v>
      </c>
      <c r="L12" s="60"/>
      <c r="M12" s="60"/>
      <c r="N12" s="515" t="str">
        <f>IF(H6="Dispensa sem justa causa",IF(H8&gt;0,IF(H10&gt;0,IF(H12&gt;0,IF(T12&gt;0,"Aviso prévio restante será indenizado",IF(T12&lt;0,"Erro de procedimento, excedeu  dias no aviso prévio.","")),""),""),""),"")</f>
        <v/>
      </c>
      <c r="O12" s="515"/>
      <c r="P12" s="515"/>
      <c r="Q12" s="515"/>
      <c r="R12" s="515"/>
      <c r="S12" s="515"/>
      <c r="T12" s="224" t="str">
        <f>IF(H6="Dispensa sem justa causa",IF(H8&gt;0,IF(H10&gt;0,IF(H12&gt;0,(calculo!AI8+30)-T8,""),""),""),"")</f>
        <v/>
      </c>
      <c r="U12" s="223"/>
    </row>
    <row r="13" spans="1:29" ht="2.25" customHeight="1">
      <c r="A13" s="512"/>
      <c r="B13" s="512"/>
      <c r="C13" s="512"/>
      <c r="D13" s="512"/>
      <c r="E13" s="512"/>
      <c r="F13" s="512"/>
      <c r="G13" s="512"/>
      <c r="H13" s="512"/>
      <c r="I13" s="512"/>
      <c r="J13" s="512"/>
      <c r="K13" s="512"/>
      <c r="L13" s="512"/>
      <c r="M13" s="512"/>
      <c r="N13" s="512"/>
      <c r="O13" s="512"/>
      <c r="P13" s="512"/>
      <c r="Q13" s="512"/>
      <c r="R13" s="512"/>
      <c r="S13" s="512"/>
      <c r="T13" s="512"/>
      <c r="U13" s="512"/>
    </row>
    <row r="14" spans="1:29" s="60" customFormat="1" ht="17.25" customHeight="1">
      <c r="B14" s="513" t="s">
        <v>61</v>
      </c>
      <c r="C14" s="513"/>
      <c r="D14" s="513"/>
      <c r="E14" s="513"/>
      <c r="F14" s="513"/>
      <c r="G14" s="513"/>
      <c r="H14" s="511"/>
      <c r="I14" s="511"/>
      <c r="J14" s="511"/>
      <c r="K14" s="246" t="s">
        <v>175</v>
      </c>
      <c r="Q14" s="516" t="str">
        <f>IF(H12&gt;0,IF(H12&lt;H10,"Data de saída inferior a data de aviso",""),"")</f>
        <v/>
      </c>
      <c r="R14" s="516"/>
      <c r="S14" s="516"/>
      <c r="T14" s="516"/>
    </row>
    <row r="15" spans="1:29" ht="2.25" customHeight="1">
      <c r="A15" s="512"/>
      <c r="B15" s="512"/>
      <c r="C15" s="512"/>
      <c r="D15" s="512"/>
      <c r="E15" s="512"/>
      <c r="F15" s="512"/>
      <c r="G15" s="512"/>
      <c r="H15" s="512"/>
      <c r="I15" s="512"/>
      <c r="J15" s="512"/>
      <c r="K15" s="512"/>
      <c r="L15" s="512"/>
      <c r="M15" s="512"/>
      <c r="N15" s="512"/>
      <c r="O15" s="512"/>
      <c r="P15" s="512"/>
      <c r="Q15" s="512"/>
      <c r="R15" s="512"/>
      <c r="S15" s="512"/>
      <c r="T15" s="512"/>
      <c r="U15" s="512"/>
    </row>
    <row r="16" spans="1:29" ht="17.25" customHeight="1">
      <c r="A16" s="60"/>
      <c r="B16" s="513" t="s">
        <v>143</v>
      </c>
      <c r="C16" s="513"/>
      <c r="D16" s="513"/>
      <c r="E16" s="513"/>
      <c r="F16" s="513"/>
      <c r="G16" s="513"/>
      <c r="H16" s="519"/>
      <c r="I16" s="519"/>
      <c r="J16" s="519"/>
      <c r="K16" s="512" t="str">
        <f>IF(H8&gt;0,IF(H10&gt;0,IF(H16="sim",IF(calculo!AJ8&gt;=1,"","Atenção: Não há férias vencidas"),""),""),"")</f>
        <v/>
      </c>
      <c r="L16" s="512"/>
      <c r="M16" s="512"/>
      <c r="N16" s="512"/>
      <c r="O16" s="512"/>
      <c r="P16" s="512"/>
      <c r="Q16" s="512"/>
      <c r="R16" s="512"/>
      <c r="S16" s="399"/>
      <c r="T16" s="60"/>
      <c r="U16" s="60"/>
    </row>
    <row r="17" spans="1:21" ht="2.25" customHeight="1">
      <c r="A17" s="512"/>
      <c r="B17" s="512"/>
      <c r="C17" s="512"/>
      <c r="D17" s="512"/>
      <c r="E17" s="512"/>
      <c r="F17" s="512"/>
      <c r="G17" s="512"/>
      <c r="H17" s="512"/>
      <c r="I17" s="512"/>
      <c r="J17" s="512"/>
      <c r="K17" s="512"/>
      <c r="L17" s="512"/>
      <c r="M17" s="512"/>
      <c r="N17" s="512"/>
      <c r="O17" s="512"/>
      <c r="P17" s="512"/>
      <c r="Q17" s="512"/>
      <c r="R17" s="512"/>
      <c r="S17" s="512"/>
      <c r="T17" s="512"/>
      <c r="U17" s="512"/>
    </row>
    <row r="18" spans="1:21" ht="17.25" customHeight="1">
      <c r="A18" s="60"/>
      <c r="B18" s="480"/>
      <c r="C18" s="480"/>
      <c r="D18" s="480"/>
      <c r="E18" s="480"/>
      <c r="F18" s="480"/>
      <c r="G18" s="480" t="s">
        <v>224</v>
      </c>
      <c r="H18" s="526"/>
      <c r="I18" s="526"/>
      <c r="J18" s="526"/>
      <c r="K18" s="526"/>
      <c r="L18" s="526"/>
      <c r="M18" s="479"/>
      <c r="N18" s="479"/>
      <c r="O18" s="479"/>
      <c r="P18" s="479"/>
      <c r="Q18" s="479"/>
      <c r="R18" s="479"/>
      <c r="S18" s="479"/>
      <c r="T18" s="60"/>
      <c r="U18" s="60"/>
    </row>
    <row r="19" spans="1:21" ht="2.25" customHeight="1">
      <c r="A19" s="512"/>
      <c r="B19" s="512"/>
      <c r="C19" s="512"/>
      <c r="D19" s="512"/>
      <c r="E19" s="512"/>
      <c r="F19" s="512"/>
      <c r="G19" s="512"/>
      <c r="H19" s="512"/>
      <c r="I19" s="512"/>
      <c r="J19" s="512"/>
      <c r="K19" s="512"/>
      <c r="L19" s="512"/>
      <c r="M19" s="512"/>
      <c r="N19" s="512"/>
      <c r="O19" s="512"/>
      <c r="P19" s="512"/>
      <c r="Q19" s="512"/>
      <c r="R19" s="512"/>
      <c r="S19" s="512"/>
      <c r="T19" s="512"/>
      <c r="U19" s="512"/>
    </row>
    <row r="20" spans="1:21" ht="17.25" customHeight="1">
      <c r="A20" s="60"/>
      <c r="B20" s="480"/>
      <c r="C20" s="480"/>
      <c r="D20" s="480"/>
      <c r="E20" s="480"/>
      <c r="F20" s="480"/>
      <c r="G20" s="480" t="s">
        <v>223</v>
      </c>
      <c r="H20" s="519"/>
      <c r="I20" s="519"/>
      <c r="J20" s="519"/>
      <c r="K20" s="484" t="s">
        <v>229</v>
      </c>
      <c r="L20" s="479"/>
      <c r="M20" s="479"/>
      <c r="N20" s="479"/>
      <c r="O20" s="479"/>
      <c r="P20" s="479"/>
      <c r="Q20" s="479"/>
      <c r="R20" s="479"/>
      <c r="S20" s="479"/>
      <c r="T20" s="60"/>
      <c r="U20" s="60"/>
    </row>
    <row r="21" spans="1:21" ht="18" customHeight="1">
      <c r="A21" s="60"/>
      <c r="B21" s="531" t="str">
        <f>IF(H8&gt;0,IF(H10&gt;0,IF(H12&gt;0,IF(calculo!O24=12,"Atenção: Última férias recentemente vencida ja está sendo computada no cálculo",IF(H8&gt;0,IF(H10&gt;0,IF(H12&gt;0,IF(calculo!O24=0,"Atenção, há uma férias recentemente vencida, verificar a necessidade de selecionar o ítem - férias vencidas",""),""),""),"")),""),""),"")</f>
        <v/>
      </c>
      <c r="C21" s="531"/>
      <c r="D21" s="531"/>
      <c r="E21" s="531"/>
      <c r="F21" s="531"/>
      <c r="G21" s="531"/>
      <c r="H21" s="531"/>
      <c r="I21" s="531"/>
      <c r="J21" s="531"/>
      <c r="K21" s="531"/>
      <c r="L21" s="531"/>
      <c r="M21" s="531"/>
      <c r="N21" s="531"/>
      <c r="O21" s="531"/>
      <c r="P21" s="531"/>
      <c r="Q21" s="531"/>
      <c r="R21" s="531"/>
      <c r="S21" s="531"/>
      <c r="T21" s="531"/>
      <c r="U21" s="60"/>
    </row>
    <row r="22" spans="1:21" ht="2.25" customHeight="1">
      <c r="A22" s="60"/>
      <c r="B22" s="533"/>
      <c r="C22" s="533"/>
      <c r="D22" s="533"/>
      <c r="E22" s="533"/>
      <c r="F22" s="533"/>
      <c r="G22" s="533"/>
      <c r="H22" s="533"/>
      <c r="I22" s="533"/>
      <c r="J22" s="533"/>
      <c r="K22" s="533"/>
      <c r="L22" s="533"/>
      <c r="M22" s="533"/>
      <c r="N22" s="533"/>
      <c r="O22" s="533"/>
      <c r="P22" s="533"/>
      <c r="Q22" s="533"/>
      <c r="R22" s="533"/>
      <c r="S22" s="533"/>
      <c r="T22" s="533"/>
      <c r="U22" s="60"/>
    </row>
    <row r="23" spans="1:21" ht="17.25" customHeight="1">
      <c r="A23" s="367"/>
      <c r="B23" s="430" t="s">
        <v>179</v>
      </c>
      <c r="C23" s="60"/>
      <c r="D23" s="60"/>
      <c r="E23" s="60"/>
      <c r="F23" s="60"/>
      <c r="G23" s="60"/>
      <c r="H23" s="60"/>
      <c r="I23" s="60"/>
      <c r="J23" s="60"/>
      <c r="K23" s="367"/>
      <c r="L23" s="367"/>
      <c r="M23" s="383"/>
      <c r="N23" s="383"/>
      <c r="O23" s="383"/>
      <c r="P23" s="60"/>
      <c r="Q23" s="60"/>
      <c r="R23" s="432"/>
      <c r="S23" s="382"/>
      <c r="T23" s="382"/>
      <c r="U23" s="60"/>
    </row>
    <row r="24" spans="1:21" ht="17.25" customHeight="1">
      <c r="A24" s="60"/>
      <c r="B24" s="525" t="s">
        <v>190</v>
      </c>
      <c r="C24" s="525"/>
      <c r="D24" s="525"/>
      <c r="E24" s="523"/>
      <c r="F24" s="523"/>
      <c r="G24" s="523"/>
      <c r="H24" s="489"/>
      <c r="I24" s="490"/>
      <c r="J24" s="491"/>
      <c r="K24" s="492" t="s">
        <v>200</v>
      </c>
      <c r="L24" s="524"/>
      <c r="M24" s="524"/>
      <c r="N24" s="60"/>
      <c r="O24" s="522" t="s">
        <v>199</v>
      </c>
      <c r="P24" s="522"/>
      <c r="Q24" s="522"/>
      <c r="R24" s="431"/>
      <c r="S24" s="382"/>
      <c r="T24" s="382"/>
      <c r="U24" s="60"/>
    </row>
    <row r="25" spans="1:21" ht="2.25" customHeight="1">
      <c r="A25" s="60"/>
      <c r="B25" s="367"/>
      <c r="C25" s="367"/>
      <c r="D25" s="367"/>
      <c r="E25" s="367"/>
      <c r="F25" s="367"/>
      <c r="G25" s="367"/>
      <c r="H25" s="367"/>
      <c r="I25" s="383"/>
      <c r="J25" s="383"/>
      <c r="K25" s="367"/>
      <c r="L25" s="367"/>
      <c r="M25" s="367"/>
      <c r="N25" s="367"/>
      <c r="O25" s="367"/>
      <c r="P25" s="367"/>
      <c r="Q25" s="367"/>
      <c r="R25" s="367"/>
      <c r="S25" s="367"/>
      <c r="T25" s="382"/>
      <c r="U25" s="60"/>
    </row>
    <row r="26" spans="1:21" ht="17.25" customHeight="1">
      <c r="A26" s="60"/>
      <c r="B26" s="529" t="s">
        <v>174</v>
      </c>
      <c r="C26" s="529"/>
      <c r="D26" s="529"/>
      <c r="E26" s="529"/>
      <c r="F26" s="529"/>
      <c r="G26" s="529"/>
      <c r="H26" s="529"/>
      <c r="I26" s="529"/>
      <c r="J26" s="530"/>
      <c r="K26" s="530"/>
      <c r="L26" s="530"/>
      <c r="M26" s="382"/>
      <c r="N26" s="382"/>
      <c r="O26" s="382"/>
      <c r="P26" s="382"/>
      <c r="Q26" s="382"/>
      <c r="R26" s="382"/>
      <c r="S26" s="382"/>
      <c r="T26" s="382"/>
      <c r="U26" s="60"/>
    </row>
    <row r="27" spans="1:21" ht="1.5" customHeight="1">
      <c r="A27" s="367"/>
      <c r="B27" s="367"/>
      <c r="C27" s="367"/>
      <c r="D27" s="367"/>
      <c r="E27" s="367"/>
      <c r="F27" s="367"/>
      <c r="G27" s="367"/>
      <c r="H27" s="367"/>
      <c r="I27" s="367"/>
      <c r="J27" s="367"/>
      <c r="K27" s="367"/>
      <c r="L27" s="367"/>
      <c r="M27" s="383"/>
      <c r="N27" s="382"/>
      <c r="O27" s="382"/>
      <c r="P27" s="382"/>
      <c r="Q27" s="382"/>
      <c r="R27" s="382"/>
      <c r="S27" s="382"/>
      <c r="T27" s="382"/>
      <c r="U27" s="60"/>
    </row>
    <row r="28" spans="1:21" ht="1.5" customHeight="1">
      <c r="A28" s="60"/>
      <c r="B28" s="361"/>
      <c r="C28" s="361"/>
      <c r="D28" s="361"/>
      <c r="E28" s="361"/>
      <c r="F28" s="361"/>
      <c r="G28" s="361"/>
      <c r="H28" s="361"/>
      <c r="I28" s="361"/>
      <c r="J28" s="361"/>
      <c r="K28" s="361"/>
      <c r="L28" s="361"/>
      <c r="M28" s="361"/>
      <c r="N28" s="361"/>
      <c r="O28" s="361"/>
      <c r="P28" s="361"/>
      <c r="Q28" s="361"/>
      <c r="R28" s="361"/>
      <c r="S28" s="361"/>
      <c r="T28" s="361"/>
      <c r="U28" s="60"/>
    </row>
    <row r="29" spans="1:21" s="367" customFormat="1" ht="3" customHeight="1">
      <c r="B29" s="383"/>
      <c r="C29" s="383"/>
      <c r="D29" s="383"/>
      <c r="E29" s="383"/>
      <c r="F29" s="383"/>
      <c r="G29" s="383"/>
      <c r="H29" s="383"/>
      <c r="I29" s="383"/>
      <c r="J29" s="383"/>
      <c r="K29" s="383"/>
      <c r="L29" s="383"/>
      <c r="M29" s="383"/>
      <c r="N29" s="383"/>
      <c r="O29" s="383"/>
      <c r="P29" s="383"/>
      <c r="Q29" s="383"/>
      <c r="R29" s="383"/>
      <c r="S29" s="383"/>
      <c r="T29" s="383"/>
    </row>
    <row r="30" spans="1:21" ht="17.25" customHeight="1">
      <c r="A30" s="60"/>
      <c r="B30" s="513" t="s">
        <v>141</v>
      </c>
      <c r="C30" s="513"/>
      <c r="D30" s="513"/>
      <c r="E30" s="521"/>
      <c r="F30" s="521"/>
      <c r="G30" s="521"/>
      <c r="H30" s="521"/>
      <c r="I30" s="521"/>
      <c r="J30" s="521"/>
      <c r="K30" s="521"/>
      <c r="L30" s="521"/>
      <c r="M30" s="521"/>
      <c r="N30" s="521"/>
      <c r="O30" s="521"/>
      <c r="P30" s="521"/>
      <c r="Q30" s="382"/>
      <c r="R30" s="382"/>
      <c r="S30" s="382"/>
      <c r="T30" s="382"/>
      <c r="U30" s="60"/>
    </row>
    <row r="31" spans="1:21" s="367" customFormat="1" ht="3" customHeight="1">
      <c r="B31" s="383"/>
      <c r="C31" s="383"/>
      <c r="D31" s="383"/>
      <c r="E31" s="383"/>
      <c r="F31" s="383"/>
      <c r="G31" s="383"/>
      <c r="H31" s="383"/>
      <c r="I31" s="383"/>
      <c r="J31" s="383"/>
      <c r="K31" s="383"/>
      <c r="L31" s="383"/>
      <c r="M31" s="383"/>
      <c r="N31" s="383"/>
      <c r="O31" s="383"/>
      <c r="P31" s="383"/>
      <c r="Q31" s="383"/>
      <c r="R31" s="383"/>
      <c r="S31" s="383"/>
      <c r="T31" s="383"/>
    </row>
    <row r="32" spans="1:21" ht="17.25" customHeight="1">
      <c r="A32" s="60"/>
      <c r="B32" s="528" t="s">
        <v>140</v>
      </c>
      <c r="C32" s="528"/>
      <c r="D32" s="528"/>
      <c r="E32" s="521"/>
      <c r="F32" s="521"/>
      <c r="G32" s="521"/>
      <c r="H32" s="521"/>
      <c r="I32" s="521"/>
      <c r="J32" s="521"/>
      <c r="K32" s="521"/>
      <c r="L32" s="521"/>
      <c r="M32" s="521"/>
      <c r="N32" s="521"/>
      <c r="O32" s="521"/>
      <c r="P32" s="521"/>
      <c r="Q32" s="60"/>
      <c r="R32" s="60"/>
      <c r="S32" s="60"/>
      <c r="T32" s="60"/>
      <c r="U32" s="60"/>
    </row>
    <row r="33" spans="1:21" ht="2.25" customHeight="1">
      <c r="A33" s="60"/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60"/>
    </row>
    <row r="34" spans="1:21" ht="2.2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241"/>
    </row>
    <row r="35" spans="1:21" ht="17.25" customHeight="1">
      <c r="A35" s="60"/>
      <c r="B35" s="513" t="s">
        <v>24</v>
      </c>
      <c r="C35" s="513"/>
      <c r="D35" s="513"/>
      <c r="E35" s="513"/>
      <c r="F35" s="513"/>
      <c r="G35" s="513"/>
      <c r="H35" s="513"/>
      <c r="I35" s="513"/>
      <c r="J35" s="513"/>
      <c r="K35" s="519"/>
      <c r="L35" s="519"/>
      <c r="M35" s="384"/>
      <c r="N35" s="384"/>
      <c r="O35" s="219"/>
      <c r="P35" s="221" t="str">
        <f>IF(config!Z19="sim","Maior de","")</f>
        <v/>
      </c>
      <c r="Q35" s="220" t="str">
        <f>IF(config!Z19="sim",config!Z20,"")</f>
        <v/>
      </c>
      <c r="R35" s="219" t="str">
        <f>IF(config!Z19="sim","anos de idade","")</f>
        <v/>
      </c>
      <c r="S35" s="242" t="s">
        <v>31</v>
      </c>
      <c r="T35" s="60"/>
      <c r="U35" s="241"/>
    </row>
    <row r="36" spans="1:21" ht="2.25" customHeight="1">
      <c r="A36" s="60"/>
      <c r="B36" s="520"/>
      <c r="C36" s="520"/>
      <c r="D36" s="520"/>
      <c r="E36" s="520"/>
      <c r="F36" s="520"/>
      <c r="G36" s="520"/>
      <c r="H36" s="520"/>
      <c r="I36" s="520"/>
      <c r="J36" s="520"/>
      <c r="K36" s="520"/>
      <c r="L36" s="520"/>
      <c r="M36" s="520"/>
      <c r="N36" s="520"/>
      <c r="O36" s="520"/>
      <c r="P36" s="520"/>
      <c r="Q36" s="520"/>
      <c r="R36" s="520"/>
      <c r="S36" s="520"/>
      <c r="T36" s="520"/>
      <c r="U36" s="241"/>
    </row>
    <row r="37" spans="1:21" ht="1.5" customHeight="1">
      <c r="A37" s="60"/>
      <c r="B37" s="520"/>
      <c r="C37" s="520"/>
      <c r="D37" s="520"/>
      <c r="E37" s="520"/>
      <c r="F37" s="520"/>
      <c r="G37" s="520"/>
      <c r="H37" s="520"/>
      <c r="I37" s="520"/>
      <c r="J37" s="520"/>
      <c r="K37" s="520"/>
      <c r="L37" s="520"/>
      <c r="M37" s="520"/>
      <c r="N37" s="520"/>
      <c r="O37" s="520"/>
      <c r="P37" s="520"/>
      <c r="Q37" s="520"/>
      <c r="R37" s="520"/>
      <c r="S37" s="520"/>
      <c r="T37" s="520"/>
      <c r="U37" s="241"/>
    </row>
    <row r="38" spans="1:21" ht="2.25" hidden="1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</row>
    <row r="39" spans="1:21" ht="17.25" customHeight="1">
      <c r="A39" s="60"/>
      <c r="B39" s="532" t="s">
        <v>91</v>
      </c>
      <c r="C39" s="532"/>
      <c r="D39" s="532"/>
      <c r="E39" s="532"/>
      <c r="F39" s="532"/>
      <c r="G39" s="532"/>
      <c r="H39" s="532"/>
      <c r="I39" s="519"/>
      <c r="J39" s="519"/>
      <c r="K39" s="244" t="s">
        <v>176</v>
      </c>
      <c r="L39" s="60"/>
      <c r="M39" s="60"/>
      <c r="N39" s="60"/>
      <c r="O39" s="60"/>
      <c r="P39" s="60"/>
      <c r="Q39" s="60"/>
      <c r="R39" s="60"/>
      <c r="S39" s="247">
        <f>config!F91</f>
        <v>1292.43</v>
      </c>
      <c r="T39" s="60"/>
      <c r="U39" s="60"/>
    </row>
    <row r="40" spans="1:21" ht="2.25" customHeight="1">
      <c r="A40" s="512"/>
      <c r="B40" s="512"/>
      <c r="C40" s="512"/>
      <c r="D40" s="512"/>
      <c r="E40" s="512"/>
      <c r="F40" s="512"/>
      <c r="G40" s="512"/>
      <c r="H40" s="512"/>
      <c r="I40" s="512"/>
      <c r="J40" s="512"/>
      <c r="K40" s="512"/>
      <c r="L40" s="512"/>
      <c r="M40" s="512"/>
      <c r="N40" s="512"/>
      <c r="O40" s="512"/>
      <c r="P40" s="512"/>
      <c r="Q40" s="512"/>
      <c r="R40" s="512"/>
      <c r="S40" s="512"/>
      <c r="T40" s="512"/>
      <c r="U40" s="512"/>
    </row>
    <row r="41" spans="1:21" s="60" customFormat="1" ht="2.25" customHeight="1"/>
    <row r="42" spans="1:21" ht="2.25" customHeight="1">
      <c r="A42" s="60"/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6"/>
      <c r="P42" s="75"/>
      <c r="Q42" s="75"/>
      <c r="R42" s="75"/>
      <c r="S42" s="75"/>
      <c r="T42" s="75"/>
      <c r="U42" s="60"/>
    </row>
    <row r="43" spans="1:21" ht="5.2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367"/>
      <c r="L43" s="367"/>
      <c r="M43" s="367"/>
      <c r="N43" s="384"/>
      <c r="O43" s="384"/>
      <c r="P43" s="384"/>
      <c r="Q43" s="384"/>
      <c r="R43" s="367"/>
      <c r="S43" s="241"/>
      <c r="T43" s="367"/>
      <c r="U43" s="60"/>
    </row>
    <row r="44" spans="1:21" ht="5.2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</row>
    <row r="45" spans="1:21" ht="20.25" customHeight="1">
      <c r="A45" s="527" t="str">
        <f>Menu!A31</f>
        <v>Planilha+ 5.1.2   .:.   Acácio Jr Tecnol  .:.    Última atualização: 24/02/2017  -  único@acaciojunior.com</v>
      </c>
      <c r="B45" s="527"/>
      <c r="C45" s="527"/>
      <c r="D45" s="527"/>
      <c r="E45" s="527"/>
      <c r="F45" s="527"/>
      <c r="G45" s="527"/>
      <c r="H45" s="527"/>
      <c r="I45" s="527"/>
      <c r="J45" s="527"/>
      <c r="K45" s="527"/>
      <c r="L45" s="527"/>
      <c r="M45" s="527"/>
      <c r="N45" s="527"/>
      <c r="O45" s="527"/>
      <c r="P45" s="527"/>
      <c r="Q45" s="527"/>
      <c r="R45" s="527"/>
      <c r="S45" s="527"/>
      <c r="T45" s="527"/>
      <c r="U45" s="527"/>
    </row>
    <row r="46" spans="1:21">
      <c r="A46" s="501"/>
      <c r="B46" s="501"/>
      <c r="C46" s="501"/>
      <c r="D46" s="501"/>
      <c r="E46" s="501"/>
      <c r="F46" s="501"/>
      <c r="G46" s="501"/>
      <c r="H46" s="501"/>
      <c r="I46" s="501"/>
      <c r="J46" s="501"/>
      <c r="K46" s="501"/>
      <c r="L46" s="501"/>
      <c r="M46" s="501"/>
      <c r="N46" s="501"/>
      <c r="O46" s="501"/>
      <c r="P46" s="501"/>
      <c r="Q46" s="501"/>
      <c r="R46" s="501"/>
      <c r="S46" s="501"/>
      <c r="T46" s="501"/>
      <c r="U46" s="501"/>
    </row>
    <row r="47" spans="1:21" ht="7.5" customHeight="1">
      <c r="A47" s="501"/>
      <c r="B47" s="501"/>
      <c r="C47" s="501"/>
      <c r="D47" s="501"/>
      <c r="E47" s="501"/>
      <c r="F47" s="501"/>
      <c r="G47" s="501"/>
      <c r="H47" s="501"/>
      <c r="I47" s="501"/>
      <c r="J47" s="501"/>
      <c r="K47" s="501"/>
      <c r="L47" s="501"/>
      <c r="M47" s="501"/>
      <c r="N47" s="501"/>
      <c r="O47" s="501"/>
      <c r="P47" s="501"/>
      <c r="Q47" s="501"/>
      <c r="R47" s="501"/>
      <c r="S47" s="501"/>
      <c r="T47" s="501"/>
      <c r="U47" s="501"/>
    </row>
    <row r="48" spans="1:21" hidden="1"/>
    <row r="49" hidden="1"/>
    <row r="50" ht="15" hidden="1" customHeight="1"/>
    <row r="51" ht="3.75" hidden="1" customHeight="1"/>
    <row r="52" ht="3.75" hidden="1" customHeight="1"/>
    <row r="53" hidden="1"/>
    <row r="54" hidden="1"/>
    <row r="55" hidden="1"/>
    <row r="56" hidden="1"/>
  </sheetData>
  <sheetProtection password="C1FF" sheet="1" objects="1" scenarios="1" selectLockedCells="1"/>
  <dataConsolidate/>
  <mergeCells count="45">
    <mergeCell ref="A15:U15"/>
    <mergeCell ref="B16:G16"/>
    <mergeCell ref="A45:U45"/>
    <mergeCell ref="I39:J39"/>
    <mergeCell ref="H16:J16"/>
    <mergeCell ref="K35:L35"/>
    <mergeCell ref="B32:D32"/>
    <mergeCell ref="B26:I26"/>
    <mergeCell ref="J26:L26"/>
    <mergeCell ref="B21:T21"/>
    <mergeCell ref="E30:P30"/>
    <mergeCell ref="B39:H39"/>
    <mergeCell ref="A40:U40"/>
    <mergeCell ref="B22:T22"/>
    <mergeCell ref="B35:J35"/>
    <mergeCell ref="B36:T36"/>
    <mergeCell ref="B37:T37"/>
    <mergeCell ref="K16:R16"/>
    <mergeCell ref="E32:P32"/>
    <mergeCell ref="B30:D30"/>
    <mergeCell ref="O24:Q24"/>
    <mergeCell ref="E24:G24"/>
    <mergeCell ref="L24:M24"/>
    <mergeCell ref="B24:D24"/>
    <mergeCell ref="A17:U17"/>
    <mergeCell ref="A19:U19"/>
    <mergeCell ref="H18:L18"/>
    <mergeCell ref="H20:J20"/>
    <mergeCell ref="N1:T2"/>
    <mergeCell ref="N3:T3"/>
    <mergeCell ref="A5:U5"/>
    <mergeCell ref="H6:O6"/>
    <mergeCell ref="A11:U11"/>
    <mergeCell ref="B6:G6"/>
    <mergeCell ref="B8:G8"/>
    <mergeCell ref="H10:J10"/>
    <mergeCell ref="H8:J8"/>
    <mergeCell ref="A7:U7"/>
    <mergeCell ref="H14:J14"/>
    <mergeCell ref="A13:U13"/>
    <mergeCell ref="B14:G14"/>
    <mergeCell ref="B12:G12"/>
    <mergeCell ref="H12:J12"/>
    <mergeCell ref="N12:S12"/>
    <mergeCell ref="Q14:T14"/>
  </mergeCells>
  <phoneticPr fontId="9" type="noConversion"/>
  <conditionalFormatting sqref="K16:S16 K20:S20 M18:S18">
    <cfRule type="cellIs" dxfId="34" priority="11" stopIfTrue="1" operator="equal">
      <formula>"Atenção: Não há férias vencidas"</formula>
    </cfRule>
  </conditionalFormatting>
  <conditionalFormatting sqref="H12:J12 H10:J10">
    <cfRule type="cellIs" dxfId="33" priority="10" stopIfTrue="1" operator="lessThan">
      <formula>$H$8</formula>
    </cfRule>
  </conditionalFormatting>
  <conditionalFormatting sqref="S35">
    <cfRule type="expression" dxfId="32" priority="9">
      <formula>$Q$35=""</formula>
    </cfRule>
  </conditionalFormatting>
  <conditionalFormatting sqref="B21:T21 Q14:T14">
    <cfRule type="notContainsBlanks" dxfId="31" priority="7">
      <formula>LEN(TRIM(B14))&gt;0</formula>
    </cfRule>
  </conditionalFormatting>
  <conditionalFormatting sqref="T12">
    <cfRule type="cellIs" dxfId="30" priority="3" operator="lessThan">
      <formula>0</formula>
    </cfRule>
    <cfRule type="cellIs" dxfId="29" priority="5" operator="equal">
      <formula>0</formula>
    </cfRule>
  </conditionalFormatting>
  <conditionalFormatting sqref="N12:S12">
    <cfRule type="cellIs" dxfId="28" priority="4" operator="equal">
      <formula>"Erro de procedimento, excedeu  dias no aviso prévio."</formula>
    </cfRule>
  </conditionalFormatting>
  <conditionalFormatting sqref="S6">
    <cfRule type="containsBlanks" dxfId="27" priority="1">
      <formula>LEN(TRIM(S6))=0</formula>
    </cfRule>
    <cfRule type="cellIs" dxfId="26" priority="2" operator="greaterThan">
      <formula>30</formula>
    </cfRule>
  </conditionalFormatting>
  <dataValidations count="4">
    <dataValidation type="list" allowBlank="1" showInputMessage="1" showErrorMessage="1" sqref="L24 S35">
      <formula1>$W$2:$W$3</formula1>
    </dataValidation>
    <dataValidation type="list" showInputMessage="1" showErrorMessage="1" errorTitle="Férias vencidas" error="Selecione uma opção na lista." sqref="H16:J16">
      <formula1>$W$2:$W$3</formula1>
    </dataValidation>
    <dataValidation type="list" allowBlank="1" showInputMessage="1" showErrorMessage="1" errorTitle="Motivo do afastamento" error="Escolha uma das opções disponíveis" sqref="H6:O6">
      <formula1>$X$2:$X$3</formula1>
    </dataValidation>
    <dataValidation type="list" showInputMessage="1" showErrorMessage="1" errorTitle="Férias vencidas" error="Selecione uma opção na lista." sqref="H18">
      <formula1>$Z$1:$Z$4</formula1>
    </dataValidation>
  </dataValidations>
  <pageMargins left="0.21" right="0.21" top="0.78740157480314965" bottom="0.78740157480314965" header="0.31496062992125984" footer="0.31496062992125984"/>
  <pageSetup paperSize="9" scale="78" orientation="portrait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>
    <pageSetUpPr fitToPage="1"/>
  </sheetPr>
  <dimension ref="A1:AT64"/>
  <sheetViews>
    <sheetView showGridLines="0" showRowColHeaders="0" topLeftCell="B1" workbookViewId="0">
      <selection activeCell="C18" sqref="C18"/>
    </sheetView>
  </sheetViews>
  <sheetFormatPr defaultColWidth="0" defaultRowHeight="12" zeroHeight="1"/>
  <cols>
    <col min="1" max="1" width="3.28515625" style="250" hidden="1" customWidth="1"/>
    <col min="2" max="2" width="2.28515625" style="250" customWidth="1"/>
    <col min="3" max="3" width="3.28515625" style="309" customWidth="1"/>
    <col min="4" max="5" width="3.42578125" style="250" customWidth="1"/>
    <col min="6" max="6" width="5.85546875" style="250" customWidth="1"/>
    <col min="7" max="7" width="2.5703125" style="250" customWidth="1"/>
    <col min="8" max="8" width="2.140625" style="250" customWidth="1"/>
    <col min="9" max="9" width="2.28515625" style="250" customWidth="1"/>
    <col min="10" max="10" width="6.140625" style="250" customWidth="1"/>
    <col min="11" max="14" width="3.42578125" style="250" customWidth="1"/>
    <col min="15" max="15" width="3.85546875" style="250" customWidth="1"/>
    <col min="16" max="31" width="3.42578125" style="250" customWidth="1"/>
    <col min="32" max="32" width="3.42578125" style="250" hidden="1" customWidth="1"/>
    <col min="33" max="33" width="3.28515625" style="250" hidden="1" customWidth="1"/>
    <col min="34" max="34" width="21.85546875" style="250" hidden="1" customWidth="1"/>
    <col min="35" max="36" width="14" style="250" hidden="1" customWidth="1"/>
    <col min="37" max="37" width="9" style="250" hidden="1" customWidth="1"/>
    <col min="38" max="38" width="18.42578125" style="250" hidden="1" customWidth="1"/>
    <col min="39" max="39" width="16.42578125" style="250" hidden="1" customWidth="1"/>
    <col min="40" max="40" width="14.28515625" style="250" hidden="1" customWidth="1"/>
    <col min="41" max="41" width="12" style="250" hidden="1" customWidth="1"/>
    <col min="42" max="42" width="21.140625" style="250" hidden="1" customWidth="1"/>
    <col min="43" max="16384" width="9.140625" style="250" hidden="1"/>
  </cols>
  <sheetData>
    <row r="1" spans="3:42" ht="27" customHeight="1">
      <c r="C1" s="248"/>
      <c r="D1" s="249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8"/>
      <c r="Z1" s="248"/>
      <c r="AA1" s="248"/>
      <c r="AB1" s="248"/>
      <c r="AC1" s="248"/>
      <c r="AD1" s="248"/>
      <c r="AE1" s="248"/>
      <c r="AF1" s="250" t="s">
        <v>168</v>
      </c>
    </row>
    <row r="2" spans="3:42" ht="18.75" customHeight="1">
      <c r="C2" s="248"/>
      <c r="D2" s="251"/>
      <c r="E2" s="248"/>
      <c r="F2" s="248"/>
      <c r="G2" s="248"/>
      <c r="H2" s="248"/>
      <c r="I2" s="252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3"/>
      <c r="Z2" s="253"/>
      <c r="AA2" s="253"/>
      <c r="AB2" s="253"/>
      <c r="AC2" s="253"/>
      <c r="AD2" s="253"/>
      <c r="AE2" s="253"/>
      <c r="AF2" s="248"/>
      <c r="AI2" s="454"/>
      <c r="AJ2" s="454"/>
      <c r="AK2" s="454"/>
    </row>
    <row r="3" spans="3:42" ht="15.75" customHeight="1" thickBot="1">
      <c r="C3" s="248"/>
      <c r="D3" s="254"/>
      <c r="E3" s="254"/>
      <c r="F3" s="254"/>
      <c r="G3" s="254"/>
      <c r="H3" s="254"/>
      <c r="I3" s="255"/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3"/>
      <c r="AE3" s="253"/>
      <c r="AF3" s="248"/>
      <c r="AI3" s="266"/>
      <c r="AJ3" s="266"/>
      <c r="AK3" s="454"/>
    </row>
    <row r="4" spans="3:42">
      <c r="C4" s="248"/>
      <c r="D4" s="248" t="str">
        <f>config!J103</f>
        <v>Rua dos Pinheiros, 20 - Pinheiros, São Paulo/SP</v>
      </c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58" t="str">
        <f>config!H104</f>
        <v>(11) 3060 6600</v>
      </c>
      <c r="AD4" s="258"/>
      <c r="AE4" s="258"/>
      <c r="AF4" s="248"/>
      <c r="AH4" s="409" t="s">
        <v>211</v>
      </c>
      <c r="AI4" s="464">
        <f>IF(K8="Dispensa sem justa causa",IF(Z11&lt;DATE(YEAR(Z11),config!AD103,config!AB103),IF(Z11&gt;=DATE(YEAR(Z11),config!AD103,config!AB103)-30,H12,0),0),0)</f>
        <v>0</v>
      </c>
      <c r="AJ4" s="257"/>
    </row>
    <row r="5" spans="3:42" ht="24" customHeight="1" thickBot="1">
      <c r="C5" s="248"/>
      <c r="D5" s="556" t="s">
        <v>167</v>
      </c>
      <c r="E5" s="556"/>
      <c r="F5" s="556"/>
      <c r="G5" s="556"/>
      <c r="H5" s="556"/>
      <c r="I5" s="556"/>
      <c r="J5" s="556"/>
      <c r="K5" s="556"/>
      <c r="L5" s="556"/>
      <c r="M5" s="556"/>
      <c r="N5" s="556"/>
      <c r="O5" s="556"/>
      <c r="P5" s="556"/>
      <c r="Q5" s="556"/>
      <c r="R5" s="556"/>
      <c r="S5" s="556"/>
      <c r="T5" s="556"/>
      <c r="U5" s="556"/>
      <c r="V5" s="556"/>
      <c r="W5" s="556"/>
      <c r="X5" s="556"/>
      <c r="Y5" s="556"/>
      <c r="Z5" s="556"/>
      <c r="AA5" s="556"/>
      <c r="AB5" s="556"/>
      <c r="AC5" s="556"/>
      <c r="AD5" s="422"/>
      <c r="AE5" s="422"/>
      <c r="AF5" s="248"/>
      <c r="AH5" s="410" t="s">
        <v>204</v>
      </c>
      <c r="AI5" s="411">
        <f>Q10+30</f>
        <v>30</v>
      </c>
      <c r="AJ5" s="278"/>
      <c r="AK5" s="278"/>
      <c r="AL5" s="278"/>
    </row>
    <row r="6" spans="3:42" ht="18.75" customHeight="1" thickBot="1">
      <c r="C6" s="248"/>
      <c r="D6" s="259" t="str">
        <f>IF(mascara!E30="","","Empresa:")</f>
        <v/>
      </c>
      <c r="E6" s="249"/>
      <c r="F6" s="249"/>
      <c r="G6" s="561" t="str">
        <f>IF(mascara!E30="","",mascara!E30)</f>
        <v/>
      </c>
      <c r="H6" s="561"/>
      <c r="I6" s="561"/>
      <c r="J6" s="561"/>
      <c r="K6" s="561"/>
      <c r="L6" s="561"/>
      <c r="M6" s="561"/>
      <c r="N6" s="561"/>
      <c r="O6" s="561"/>
      <c r="P6" s="561"/>
      <c r="Q6" s="561"/>
      <c r="R6" s="561"/>
      <c r="S6" s="561"/>
      <c r="T6" s="561"/>
      <c r="U6" s="561"/>
      <c r="V6" s="561"/>
      <c r="W6" s="561"/>
      <c r="X6" s="561"/>
      <c r="Y6" s="561"/>
      <c r="Z6" s="561"/>
      <c r="AA6" s="561"/>
      <c r="AB6" s="561"/>
      <c r="AC6" s="561"/>
      <c r="AD6" s="423"/>
      <c r="AE6" s="423"/>
      <c r="AF6" s="248"/>
      <c r="AH6" s="250" t="s">
        <v>49</v>
      </c>
      <c r="AI6" s="250" t="e">
        <f>IF(MONTH(Z10)=MONTH(G10),IF(YEAR(Z10)=YEAR(G10),DAY(Z10)-DAY(G10),DAY(Z10)),DAY(Z10))</f>
        <v>#VALUE!</v>
      </c>
      <c r="AJ6" s="250" t="s">
        <v>128</v>
      </c>
      <c r="AK6" s="250" t="e">
        <f>IF(MONTH(Z10)=MONTH(G10),IF(YEAR(Z10)=YEAR(G10),DAY(Z10)-DAY(G10)+1,DAY(Z10)),DAY(Z10))</f>
        <v>#VALUE!</v>
      </c>
      <c r="AL6" s="260" t="s">
        <v>173</v>
      </c>
      <c r="AM6" s="261" t="e">
        <f>IF(MONTH(Z10)=2,AO6,0)</f>
        <v>#VALUE!</v>
      </c>
      <c r="AN6" s="262" t="e">
        <f>Z10+1</f>
        <v>#VALUE!</v>
      </c>
      <c r="AO6" s="263" t="e">
        <f>IF(MONTH(Z10)=MONTH(AN6),0,30)</f>
        <v>#VALUE!</v>
      </c>
    </row>
    <row r="7" spans="3:42" ht="20.25" customHeight="1">
      <c r="C7" s="248"/>
      <c r="D7" s="264" t="str">
        <f>IF(mascara!E32="","","Trabalhador:")</f>
        <v/>
      </c>
      <c r="E7" s="248"/>
      <c r="F7" s="248"/>
      <c r="G7" s="248"/>
      <c r="H7" s="562" t="str">
        <f>IF(mascara!E32="","",mascara!E32)</f>
        <v/>
      </c>
      <c r="I7" s="562"/>
      <c r="J7" s="562"/>
      <c r="K7" s="562"/>
      <c r="L7" s="562"/>
      <c r="M7" s="562"/>
      <c r="N7" s="562"/>
      <c r="O7" s="562"/>
      <c r="P7" s="562"/>
      <c r="Q7" s="562"/>
      <c r="R7" s="562"/>
      <c r="S7" s="562"/>
      <c r="T7" s="562"/>
      <c r="U7" s="562"/>
      <c r="V7" s="562"/>
      <c r="W7" s="562"/>
      <c r="X7" s="562"/>
      <c r="Y7" s="562"/>
      <c r="Z7" s="562"/>
      <c r="AA7" s="562"/>
      <c r="AB7" s="562"/>
      <c r="AC7" s="562"/>
      <c r="AD7" s="424"/>
      <c r="AE7" s="424"/>
      <c r="AF7" s="248"/>
      <c r="AH7" s="250" t="s">
        <v>160</v>
      </c>
      <c r="AI7" s="265" t="e">
        <f>IF(K8="Dispensa sem justa causa",mascara!H10+mascara!P10,Z10)+AM11+AP8</f>
        <v>#VALUE!</v>
      </c>
      <c r="AJ7" s="266" t="str">
        <f>IF(K8="Dispensa sem justa causa",Q10+30,Z10)</f>
        <v/>
      </c>
      <c r="AK7" s="265" t="e">
        <f>AJ7-1</f>
        <v>#VALUE!</v>
      </c>
      <c r="AL7" s="455" t="e">
        <f>IF(AM7&lt;=0,DAY(AJ7)-DAY(G10),0)</f>
        <v>#VALUE!</v>
      </c>
      <c r="AM7" s="455" t="e">
        <f>MONTH(AK7)-MONTH(G10)</f>
        <v>#VALUE!</v>
      </c>
      <c r="AN7" s="455" t="e">
        <f>IF(AM7&lt;0,1,IF(AL7&lt;0,1,0))</f>
        <v>#VALUE!</v>
      </c>
    </row>
    <row r="8" spans="3:42" ht="14.25" customHeight="1">
      <c r="C8" s="248"/>
      <c r="D8" s="268" t="s">
        <v>34</v>
      </c>
      <c r="E8" s="268"/>
      <c r="F8" s="268"/>
      <c r="G8" s="268"/>
      <c r="H8" s="268"/>
      <c r="I8" s="268"/>
      <c r="J8" s="269"/>
      <c r="K8" s="545">
        <f>mascara!H6</f>
        <v>0</v>
      </c>
      <c r="L8" s="545"/>
      <c r="M8" s="545"/>
      <c r="N8" s="545"/>
      <c r="O8" s="545"/>
      <c r="P8" s="545"/>
      <c r="Q8" s="545"/>
      <c r="R8" s="545"/>
      <c r="S8" s="268"/>
      <c r="T8" s="268"/>
      <c r="U8" s="268"/>
      <c r="V8" s="248"/>
      <c r="W8" s="248"/>
      <c r="X8" s="248"/>
      <c r="Y8" s="248"/>
      <c r="Z8" s="248"/>
      <c r="AA8" s="248"/>
      <c r="AB8" s="248"/>
      <c r="AC8" s="248"/>
      <c r="AD8" s="248"/>
      <c r="AE8" s="248"/>
      <c r="AF8" s="268"/>
      <c r="AG8" s="270"/>
      <c r="AH8" s="250" t="s">
        <v>4</v>
      </c>
      <c r="AI8" s="452">
        <f>IF(K8="Dispensa sem justa causa",IF(AK8&gt;=config!L53,60,VLOOKUP(AK8,config!E31:L52,5,FALSE)-30),0)</f>
        <v>0</v>
      </c>
      <c r="AJ8" s="454" t="e">
        <f>IF(YEAR(AJ7)&gt;YEAR(G10),(YEAR(AJ7)-YEAR(G10))-AN8,0)</f>
        <v>#VALUE!</v>
      </c>
      <c r="AK8" s="453" t="e">
        <f>IF(config!H28="ano completo",IF(YEAR(AJ7)&gt;YEAR(G10),(YEAR(AJ7)-YEAR(G10))-AN8,0),IF(YEAR(AK7)&gt;YEAR(G10),(YEAR(AK7)-YEAR(G10))-AN7,0))</f>
        <v>#VALUE!</v>
      </c>
      <c r="AL8" s="272" t="e">
        <f>IF(AM8&lt;=0,DAY(AJ7)-DAY(G10),0)</f>
        <v>#VALUE!</v>
      </c>
      <c r="AM8" s="250" t="e">
        <f>MONTH(AJ7)-MONTH(G10)</f>
        <v>#VALUE!</v>
      </c>
      <c r="AN8" s="273" t="e">
        <f>IF(AM8&lt;0,1,IF(AL8&lt;0,1,0))</f>
        <v>#VALUE!</v>
      </c>
      <c r="AO8" s="271" t="s">
        <v>158</v>
      </c>
      <c r="AP8" s="271">
        <f>IF(K8="Dispensa sem justa causa",IF(config!Z16="sim",calculo!AJ8,0),0)</f>
        <v>0</v>
      </c>
    </row>
    <row r="9" spans="3:42" ht="4.5" customHeight="1">
      <c r="C9" s="248"/>
      <c r="D9" s="268"/>
      <c r="E9" s="268"/>
      <c r="F9" s="268"/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/>
      <c r="U9" s="268"/>
      <c r="V9" s="268"/>
      <c r="W9" s="268"/>
      <c r="X9" s="268"/>
      <c r="Y9" s="268"/>
      <c r="Z9" s="268"/>
      <c r="AA9" s="268"/>
      <c r="AB9" s="268"/>
      <c r="AC9" s="268"/>
      <c r="AD9" s="268"/>
      <c r="AE9" s="268"/>
      <c r="AF9" s="268"/>
      <c r="AG9" s="270"/>
      <c r="AH9" s="250" t="s">
        <v>5</v>
      </c>
      <c r="AI9" s="274" t="e">
        <f>YEAR(Z10)</f>
        <v>#VALUE!</v>
      </c>
      <c r="AJ9" s="275" t="e">
        <f>DATE(AI9,1,1)</f>
        <v>#VALUE!</v>
      </c>
      <c r="AK9" s="275"/>
      <c r="AM9" s="257"/>
    </row>
    <row r="10" spans="3:42" ht="15">
      <c r="C10" s="248"/>
      <c r="D10" s="268" t="s">
        <v>2</v>
      </c>
      <c r="E10" s="268"/>
      <c r="F10" s="268"/>
      <c r="G10" s="557" t="str">
        <f>IF(mascara!H8="","",mascara!H8)</f>
        <v/>
      </c>
      <c r="H10" s="558"/>
      <c r="I10" s="558"/>
      <c r="J10" s="558"/>
      <c r="K10" s="558"/>
      <c r="L10" s="268"/>
      <c r="M10" s="270" t="s">
        <v>156</v>
      </c>
      <c r="Q10" s="574">
        <f>mascara!H10</f>
        <v>0</v>
      </c>
      <c r="R10" s="574"/>
      <c r="S10" s="574"/>
      <c r="T10" s="574"/>
      <c r="U10" s="276"/>
      <c r="V10" s="276"/>
      <c r="W10" s="276"/>
      <c r="X10" s="268"/>
      <c r="Y10" s="277" t="s">
        <v>3</v>
      </c>
      <c r="Z10" s="559" t="str">
        <f>IF(mascara!H12="","",mascara!H12)</f>
        <v/>
      </c>
      <c r="AA10" s="559"/>
      <c r="AB10" s="559"/>
      <c r="AC10" s="559"/>
      <c r="AD10" s="433"/>
      <c r="AE10" s="433"/>
      <c r="AF10" s="268"/>
      <c r="AG10" s="270"/>
      <c r="AH10" s="250" t="s">
        <v>6</v>
      </c>
      <c r="AI10" s="275" t="e">
        <f>MONTH(AI7)+AK10</f>
        <v>#VALUE!</v>
      </c>
      <c r="AJ10" s="273" t="e">
        <f>DAY(AI7)</f>
        <v>#VALUE!</v>
      </c>
      <c r="AK10" s="273" t="e">
        <f>IF(AJ10&lt;15,-1,0)</f>
        <v>#VALUE!</v>
      </c>
      <c r="AL10" s="267"/>
    </row>
    <row r="11" spans="3:42" ht="18" customHeight="1" thickBot="1">
      <c r="C11" s="248"/>
      <c r="D11" s="278"/>
      <c r="E11" s="278"/>
      <c r="F11" s="278"/>
      <c r="G11" s="278"/>
      <c r="H11" s="278"/>
      <c r="I11" s="278"/>
      <c r="J11" s="276"/>
      <c r="K11" s="268"/>
      <c r="L11" s="268"/>
      <c r="M11" s="268"/>
      <c r="N11" s="268"/>
      <c r="O11" s="268"/>
      <c r="P11" s="268"/>
      <c r="Q11" s="276"/>
      <c r="R11" s="278"/>
      <c r="S11" s="276"/>
      <c r="T11" s="268"/>
      <c r="U11" s="279"/>
      <c r="V11" s="279"/>
      <c r="W11" s="279"/>
      <c r="X11" s="279"/>
      <c r="Y11" s="277" t="s">
        <v>163</v>
      </c>
      <c r="Z11" s="563" t="str">
        <f>IF(K8="Dispensa sem justa causa",AI7,Z10)</f>
        <v/>
      </c>
      <c r="AA11" s="564"/>
      <c r="AB11" s="564"/>
      <c r="AC11" s="564"/>
      <c r="AD11" s="425"/>
      <c r="AE11" s="425"/>
      <c r="AF11" s="268"/>
      <c r="AG11" s="270"/>
      <c r="AH11" s="271" t="s">
        <v>152</v>
      </c>
      <c r="AI11" s="280">
        <f>config!Z22</f>
        <v>15</v>
      </c>
      <c r="AJ11" s="271" t="s">
        <v>154</v>
      </c>
      <c r="AK11" s="271">
        <f>config!Z21</f>
        <v>20</v>
      </c>
      <c r="AL11" s="271" t="s">
        <v>153</v>
      </c>
      <c r="AM11" s="271">
        <f>IF(config!Z19="sim",IF(mascara!S35="sim",IF(AJ8&gt;AK11,AI11,0),0),0)</f>
        <v>0</v>
      </c>
      <c r="AN11" s="267"/>
      <c r="AO11" s="267"/>
    </row>
    <row r="12" spans="3:42" ht="15.75" thickBot="1">
      <c r="C12" s="248"/>
      <c r="D12" s="268" t="s">
        <v>61</v>
      </c>
      <c r="E12" s="268"/>
      <c r="F12" s="268"/>
      <c r="G12" s="268"/>
      <c r="H12" s="560">
        <f>mascara!H14</f>
        <v>0</v>
      </c>
      <c r="I12" s="560"/>
      <c r="J12" s="560"/>
      <c r="K12" s="560"/>
      <c r="L12" s="560"/>
      <c r="M12" s="560"/>
      <c r="N12" s="281"/>
      <c r="O12" s="268"/>
      <c r="V12" s="268"/>
      <c r="W12" s="268"/>
      <c r="X12" s="268"/>
      <c r="Y12" s="268"/>
      <c r="Z12" s="268"/>
      <c r="AA12" s="268"/>
      <c r="AB12" s="268"/>
      <c r="AC12" s="268"/>
      <c r="AD12" s="268"/>
      <c r="AE12" s="268"/>
      <c r="AF12" s="268"/>
      <c r="AG12" s="270"/>
      <c r="AH12" s="473" t="s">
        <v>7</v>
      </c>
      <c r="AI12" s="476" t="e">
        <f>IF(AJ12&gt;=15,DATEDIF(G10,Z11,"Ym")+1,DATEDIF(G10,Z11,"Ym"))</f>
        <v>#VALUE!</v>
      </c>
      <c r="AJ12" s="474" t="e">
        <f>IF(DAY(Z11)&gt;=DAY(G10),DAY(Z11)-DAY(G10)+1,(DATEDIF(G10,AK14,"md")+1)+DAY(Z11))</f>
        <v>#VALUE!</v>
      </c>
      <c r="AK12" s="475"/>
      <c r="AL12" s="267"/>
      <c r="AM12" s="267"/>
      <c r="AN12" s="267"/>
      <c r="AO12" s="267"/>
    </row>
    <row r="13" spans="3:42" ht="3.75" customHeight="1">
      <c r="C13" s="248"/>
      <c r="D13" s="268"/>
      <c r="E13" s="268"/>
      <c r="F13" s="268"/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/>
      <c r="U13" s="268"/>
      <c r="V13" s="268"/>
      <c r="W13" s="268"/>
      <c r="X13" s="268"/>
      <c r="Y13" s="268"/>
      <c r="Z13" s="268"/>
      <c r="AA13" s="268"/>
      <c r="AB13" s="268"/>
      <c r="AC13" s="268"/>
      <c r="AD13" s="268"/>
      <c r="AE13" s="268"/>
      <c r="AF13" s="268"/>
      <c r="AG13" s="270"/>
      <c r="AH13" s="250" t="s">
        <v>10</v>
      </c>
      <c r="AI13" s="282">
        <f>H12/30</f>
        <v>0</v>
      </c>
      <c r="AJ13" s="362" t="s">
        <v>187</v>
      </c>
      <c r="AK13" s="362" t="s">
        <v>188</v>
      </c>
      <c r="AL13" s="362" t="s">
        <v>189</v>
      </c>
    </row>
    <row r="14" spans="3:42" ht="15.75" thickBot="1">
      <c r="C14" s="248"/>
      <c r="D14" s="283" t="s">
        <v>32</v>
      </c>
      <c r="E14" s="268"/>
      <c r="F14" s="268"/>
      <c r="G14" s="268"/>
      <c r="H14" s="268"/>
      <c r="I14" s="268"/>
      <c r="J14" s="269"/>
      <c r="K14" s="545">
        <f>mascara!H16</f>
        <v>0</v>
      </c>
      <c r="L14" s="545"/>
      <c r="M14" s="545"/>
      <c r="N14" s="268"/>
      <c r="O14" s="542" t="str">
        <f>IF(mascara!K35="","","Nº de pendentes no Imposto de renda:")</f>
        <v/>
      </c>
      <c r="P14" s="542"/>
      <c r="Q14" s="542"/>
      <c r="R14" s="542"/>
      <c r="S14" s="542"/>
      <c r="T14" s="542"/>
      <c r="U14" s="542"/>
      <c r="V14" s="542"/>
      <c r="W14" s="542"/>
      <c r="X14" s="542"/>
      <c r="Y14" s="542"/>
      <c r="Z14" s="540">
        <f>mascara!K35</f>
        <v>0</v>
      </c>
      <c r="AA14" s="540"/>
      <c r="AB14" s="248"/>
      <c r="AC14" s="248"/>
      <c r="AD14" s="248"/>
      <c r="AE14" s="248"/>
      <c r="AF14" s="268"/>
      <c r="AG14" s="270"/>
      <c r="AH14" s="250" t="s">
        <v>11</v>
      </c>
      <c r="AI14" s="282">
        <f>H12/12</f>
        <v>0</v>
      </c>
      <c r="AJ14" s="363" t="e">
        <f>EOMONTH(G10,0)</f>
        <v>#VALUE!</v>
      </c>
      <c r="AK14" s="363" t="e">
        <f>EOMONTH(Z11,-1)</f>
        <v>#VALUE!</v>
      </c>
      <c r="AL14" s="362" t="e">
        <f>IF(DAY(G10)&gt;DAY(Z11),DAY(AK14)-DAY(G10)+DAY(Z11)+1,DAY(Z11)-DAY(G10)+1)</f>
        <v>#VALUE!</v>
      </c>
    </row>
    <row r="15" spans="3:42" ht="15">
      <c r="C15" s="248"/>
      <c r="D15" s="283"/>
      <c r="E15" s="268"/>
      <c r="F15" s="268"/>
      <c r="G15" s="268"/>
      <c r="H15" s="268"/>
      <c r="I15" s="268"/>
      <c r="J15" s="248"/>
      <c r="K15" s="248"/>
      <c r="L15" s="248"/>
      <c r="M15" s="268"/>
      <c r="N15" s="268"/>
      <c r="O15" s="269"/>
      <c r="P15" s="542" t="str">
        <f>IF(mascara!I39="","","N º de filhos no salário família:")</f>
        <v/>
      </c>
      <c r="Q15" s="542"/>
      <c r="R15" s="542"/>
      <c r="S15" s="542"/>
      <c r="T15" s="542"/>
      <c r="U15" s="542"/>
      <c r="V15" s="542"/>
      <c r="W15" s="542"/>
      <c r="X15" s="542"/>
      <c r="Y15" s="542"/>
      <c r="Z15" s="541">
        <f>mascara!I39</f>
        <v>0</v>
      </c>
      <c r="AA15" s="541"/>
      <c r="AB15" s="268"/>
      <c r="AC15" s="268"/>
      <c r="AD15" s="268"/>
      <c r="AE15" s="268"/>
      <c r="AF15" s="268"/>
      <c r="AG15" s="270"/>
      <c r="AH15" s="271" t="s">
        <v>54</v>
      </c>
      <c r="AI15" s="271" t="s">
        <v>55</v>
      </c>
      <c r="AJ15" s="478" t="s">
        <v>8</v>
      </c>
      <c r="AK15" s="271" t="s">
        <v>216</v>
      </c>
      <c r="AL15" s="271"/>
      <c r="AM15" s="271"/>
      <c r="AN15" s="271"/>
      <c r="AO15" s="271"/>
      <c r="AP15" s="271"/>
    </row>
    <row r="16" spans="3:42" ht="6" customHeight="1">
      <c r="C16" s="248"/>
      <c r="D16" s="284"/>
      <c r="E16" s="284"/>
      <c r="F16" s="284"/>
      <c r="G16" s="284"/>
      <c r="H16" s="284"/>
      <c r="I16" s="284"/>
      <c r="J16" s="284"/>
      <c r="K16" s="284"/>
      <c r="L16" s="284"/>
      <c r="M16" s="284"/>
      <c r="N16" s="284"/>
      <c r="O16" s="284"/>
      <c r="P16" s="284"/>
      <c r="Q16" s="285"/>
      <c r="R16" s="284"/>
      <c r="S16" s="284"/>
      <c r="T16" s="284"/>
      <c r="U16" s="284"/>
      <c r="V16" s="284"/>
      <c r="W16" s="284"/>
      <c r="X16" s="284"/>
      <c r="Y16" s="284"/>
      <c r="Z16" s="284"/>
      <c r="AA16" s="284"/>
      <c r="AB16" s="284"/>
      <c r="AC16" s="284"/>
      <c r="AD16" s="288"/>
      <c r="AE16" s="288"/>
      <c r="AF16" s="268"/>
      <c r="AG16" s="270"/>
      <c r="AH16" s="271" t="s">
        <v>54</v>
      </c>
      <c r="AI16" s="286" t="e">
        <f>IF(AJ16&gt;=15,DATEDIF(G10,Z11,"YM")+1,DATEDIF(G10,Z11,"YM"))</f>
        <v>#VALUE!</v>
      </c>
      <c r="AJ16" s="286" t="e">
        <f>IF(DAY(Z11)&gt;=DAY(G10),DAY(Z11)-DAY(G10)+1,(DATEDIF(G10,AK14,"md")+1)+DAY(Z11))</f>
        <v>#VALUE!</v>
      </c>
      <c r="AK16" s="271" t="e">
        <f>IF(YEAR(Z11)&gt;YEAR(G10),IF(DAY(Z11)&gt;=15,MONTH(Z11),MONTH(Z11)-1),AI16)</f>
        <v>#VALUE!</v>
      </c>
      <c r="AL16" s="271"/>
      <c r="AM16" s="271"/>
      <c r="AN16" s="271"/>
      <c r="AO16" s="271"/>
    </row>
    <row r="17" spans="1:46" ht="12.75" customHeight="1">
      <c r="C17" s="440" t="s">
        <v>207</v>
      </c>
      <c r="D17" s="268"/>
      <c r="E17" s="268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/>
      <c r="U17" s="268"/>
      <c r="V17" s="268"/>
      <c r="W17" s="268"/>
      <c r="X17" s="268"/>
      <c r="Y17" s="268"/>
      <c r="Z17" s="268"/>
      <c r="AA17" s="268"/>
      <c r="AB17" s="268"/>
      <c r="AC17" s="268"/>
      <c r="AD17" s="268"/>
      <c r="AE17" s="268"/>
      <c r="AF17" s="268"/>
      <c r="AG17" s="270"/>
      <c r="AH17" s="271"/>
      <c r="AJ17" s="477"/>
      <c r="AK17" s="287"/>
      <c r="AL17" s="271"/>
      <c r="AM17" s="271"/>
      <c r="AN17" s="271"/>
      <c r="AO17" s="271"/>
    </row>
    <row r="18" spans="1:46" ht="12.75" customHeight="1">
      <c r="A18" s="250">
        <f>IF(C18="x",0,1)</f>
        <v>1</v>
      </c>
      <c r="C18" s="441"/>
      <c r="D18" s="288" t="str">
        <f>IF(K18="","",IF(K18=0,"","Aviso prévio indenizado:"))</f>
        <v/>
      </c>
      <c r="E18" s="288"/>
      <c r="F18" s="288"/>
      <c r="G18" s="288"/>
      <c r="H18" s="288"/>
      <c r="I18" s="288"/>
      <c r="J18" s="288"/>
      <c r="K18" s="547">
        <f>IF(K8="Dispensa sem justa causa",IF(mascara!T12&gt;0,mascara!T12*AI13,0)+AM11*AI13,0)*A18</f>
        <v>0</v>
      </c>
      <c r="L18" s="547"/>
      <c r="M18" s="547"/>
      <c r="N18" s="547"/>
      <c r="O18" s="288" t="str">
        <f>IF(C18="x","",IF(K8="Dispensa sem justa causa",IF(mascara!T12&gt;0,mascara!T12+AM11,IF(AM11&gt;0,AM11,"")),""))</f>
        <v/>
      </c>
      <c r="P18" s="288" t="str">
        <f>IF(O18="","","dias")</f>
        <v/>
      </c>
      <c r="Q18" s="288"/>
      <c r="R18" s="288"/>
      <c r="S18" s="288"/>
      <c r="T18" s="546" t="s">
        <v>0</v>
      </c>
      <c r="U18" s="546"/>
      <c r="V18" s="546"/>
      <c r="W18" s="546"/>
      <c r="X18" s="546"/>
      <c r="Y18" s="546"/>
      <c r="Z18" s="546"/>
      <c r="AA18" s="546"/>
      <c r="AB18" s="546"/>
      <c r="AC18" s="546"/>
      <c r="AD18" s="439" t="s">
        <v>207</v>
      </c>
      <c r="AE18" s="420"/>
      <c r="AF18" s="268"/>
      <c r="AG18" s="270"/>
      <c r="AH18" s="267"/>
      <c r="AI18" s="289"/>
      <c r="AJ18" s="267"/>
      <c r="AK18" s="267"/>
      <c r="AL18" s="267"/>
      <c r="AM18" s="267"/>
      <c r="AN18" s="267"/>
      <c r="AO18" s="267"/>
    </row>
    <row r="19" spans="1:46" ht="6" customHeight="1">
      <c r="C19" s="248"/>
      <c r="D19" s="288"/>
      <c r="E19" s="288"/>
      <c r="F19" s="288"/>
      <c r="G19" s="288"/>
      <c r="H19" s="288"/>
      <c r="I19" s="288"/>
      <c r="J19" s="288"/>
      <c r="K19" s="290"/>
      <c r="L19" s="290"/>
      <c r="M19" s="290"/>
      <c r="N19" s="290"/>
      <c r="O19" s="288"/>
      <c r="P19" s="288"/>
      <c r="Q19" s="288"/>
      <c r="R19" s="288"/>
      <c r="S19" s="288"/>
      <c r="T19" s="288"/>
      <c r="U19" s="288"/>
      <c r="V19" s="288"/>
      <c r="W19" s="288"/>
      <c r="X19" s="288"/>
      <c r="Y19" s="288"/>
      <c r="Z19" s="288"/>
      <c r="AA19" s="288"/>
      <c r="AB19" s="288"/>
      <c r="AC19" s="288"/>
      <c r="AD19" s="288"/>
      <c r="AE19" s="288"/>
      <c r="AF19" s="268"/>
      <c r="AG19" s="270"/>
      <c r="AH19" s="291" t="s">
        <v>14</v>
      </c>
      <c r="AI19" s="292" t="s">
        <v>15</v>
      </c>
      <c r="AJ19" s="293" t="s">
        <v>198</v>
      </c>
      <c r="AK19" s="250" t="s">
        <v>18</v>
      </c>
      <c r="AL19" s="379" t="s">
        <v>196</v>
      </c>
    </row>
    <row r="20" spans="1:46" ht="12.75" customHeight="1">
      <c r="A20" s="250">
        <f>IF(C20="x",0,1)</f>
        <v>1</v>
      </c>
      <c r="C20" s="441"/>
      <c r="D20" s="288" t="e">
        <f>IF(K20&gt;0,"Saldo de salário:","")</f>
        <v>#VALUE!</v>
      </c>
      <c r="E20" s="288"/>
      <c r="F20" s="288"/>
      <c r="G20" s="288"/>
      <c r="H20" s="572" t="e">
        <f>IF(C20="x",0,IF(AK6&gt;30,30,AK6))</f>
        <v>#VALUE!</v>
      </c>
      <c r="I20" s="572"/>
      <c r="J20" s="288" t="e">
        <f>IF(C20="x","",IF(H20=1,"dia","dias"))</f>
        <v>#VALUE!</v>
      </c>
      <c r="K20" s="547" t="e">
        <f>IF(AM6=0,(H20*AI13),H12)*A20</f>
        <v>#VALUE!</v>
      </c>
      <c r="L20" s="547"/>
      <c r="M20" s="547"/>
      <c r="N20" s="547"/>
      <c r="O20" s="248"/>
      <c r="P20" s="248"/>
      <c r="Q20" s="248"/>
      <c r="R20" s="248"/>
      <c r="S20" s="288"/>
      <c r="T20" s="288" t="e">
        <f>IF(Z20&gt;0,"Previdência Social:","")</f>
        <v>#VALUE!</v>
      </c>
      <c r="U20" s="288"/>
      <c r="V20" s="288"/>
      <c r="W20" s="288"/>
      <c r="X20" s="288"/>
      <c r="Y20" s="288"/>
      <c r="Z20" s="547" t="e">
        <f>IF(AJ24&gt;0,(AN24)*AJ24,AI23)*AF20</f>
        <v>#VALUE!</v>
      </c>
      <c r="AA20" s="547"/>
      <c r="AB20" s="547"/>
      <c r="AC20" s="547"/>
      <c r="AD20" s="441"/>
      <c r="AE20" s="417"/>
      <c r="AF20" s="268">
        <f>IF(AD20="x",0,1)</f>
        <v>1</v>
      </c>
      <c r="AG20" s="270"/>
      <c r="AH20" s="250" t="s">
        <v>12</v>
      </c>
      <c r="AI20" s="294">
        <f>config!F72</f>
        <v>1659.38</v>
      </c>
      <c r="AJ20" s="293" t="e">
        <f>IF(AN24&lt;=AI20,config!M72,0)</f>
        <v>#VALUE!</v>
      </c>
      <c r="AK20" s="250" t="e">
        <f>IF(K22&lt;=AI20,config!M72,0)</f>
        <v>#VALUE!</v>
      </c>
      <c r="AL20" s="380" t="e">
        <f>IF(K20&lt;=AI20,config!M72,0)</f>
        <v>#VALUE!</v>
      </c>
      <c r="AM20" s="369" t="s">
        <v>191</v>
      </c>
      <c r="AN20" s="369"/>
      <c r="AO20" s="370"/>
    </row>
    <row r="21" spans="1:46" ht="6" customHeight="1">
      <c r="C21" s="248"/>
      <c r="D21" s="288"/>
      <c r="E21" s="288"/>
      <c r="F21" s="288"/>
      <c r="G21" s="288"/>
      <c r="H21" s="288"/>
      <c r="I21" s="288"/>
      <c r="J21" s="288"/>
      <c r="K21" s="290"/>
      <c r="L21" s="290"/>
      <c r="M21" s="290"/>
      <c r="N21" s="290"/>
      <c r="O21" s="288"/>
      <c r="P21" s="288"/>
      <c r="Q21" s="288"/>
      <c r="R21" s="288"/>
      <c r="S21" s="288"/>
      <c r="T21" s="288"/>
      <c r="U21" s="288"/>
      <c r="V21" s="288"/>
      <c r="W21" s="288"/>
      <c r="X21" s="288"/>
      <c r="Y21" s="288"/>
      <c r="Z21" s="295"/>
      <c r="AA21" s="295"/>
      <c r="AB21" s="295"/>
      <c r="AC21" s="295"/>
      <c r="AD21" s="419"/>
      <c r="AE21" s="419"/>
      <c r="AF21" s="268"/>
      <c r="AG21" s="270"/>
      <c r="AH21" s="250" t="s">
        <v>12</v>
      </c>
      <c r="AI21" s="294">
        <f>config!J73</f>
        <v>2765.66</v>
      </c>
      <c r="AJ21" s="293" t="e">
        <f>IF(AN24&gt;AI20,IF(AN24&lt;=AI21,config!M73,0),0)</f>
        <v>#VALUE!</v>
      </c>
      <c r="AK21" s="250" t="e">
        <f>IF(K22&gt;AI20,IF(K22&lt;=AI21,config!M73,0),0)</f>
        <v>#VALUE!</v>
      </c>
      <c r="AL21" s="380" t="e">
        <f>IF(K20&gt;AI20,IF(AN24&lt;=AI21,config!M73,0),0)</f>
        <v>#VALUE!</v>
      </c>
      <c r="AM21" s="372" t="s">
        <v>192</v>
      </c>
      <c r="AN21" s="372">
        <f>IF(mascara!L24="sim",mascara!E24,0)</f>
        <v>0</v>
      </c>
      <c r="AO21" s="373"/>
    </row>
    <row r="22" spans="1:46" ht="12.75" customHeight="1">
      <c r="A22" s="250">
        <f>IF(C22="x",0,1)</f>
        <v>1</v>
      </c>
      <c r="C22" s="441"/>
      <c r="D22" s="288" t="e">
        <f>IF(K22&gt;0,"13º Salário:","")</f>
        <v>#VALUE!</v>
      </c>
      <c r="E22" s="288"/>
      <c r="F22" s="288"/>
      <c r="G22" s="569" t="e">
        <f>IF(C22="x",0,AK16)</f>
        <v>#VALUE!</v>
      </c>
      <c r="H22" s="569"/>
      <c r="I22" s="296" t="e">
        <f>IF(G22&gt;0,IF(G22=1,"mês","meses"),"")</f>
        <v>#VALUE!</v>
      </c>
      <c r="J22" s="288"/>
      <c r="K22" s="547" t="e">
        <f>(AI14*G22)*A22</f>
        <v>#VALUE!</v>
      </c>
      <c r="L22" s="547"/>
      <c r="M22" s="547"/>
      <c r="N22" s="547"/>
      <c r="O22" s="288"/>
      <c r="P22" s="288"/>
      <c r="Q22" s="288"/>
      <c r="R22" s="288"/>
      <c r="T22" s="288" t="e">
        <f>IF(Z22&gt;0,"Inss 13º Salário:","")</f>
        <v>#VALUE!</v>
      </c>
      <c r="U22" s="288"/>
      <c r="V22" s="288"/>
      <c r="W22" s="288"/>
      <c r="X22" s="288"/>
      <c r="Y22" s="281"/>
      <c r="Z22" s="547" t="e">
        <f>IF(AK24&gt;0,K22*AK24,AI23)*AF22</f>
        <v>#VALUE!</v>
      </c>
      <c r="AA22" s="547"/>
      <c r="AB22" s="547"/>
      <c r="AC22" s="547"/>
      <c r="AD22" s="441"/>
      <c r="AE22" s="417"/>
      <c r="AF22" s="268">
        <f>IF(AD22="x",0,1)</f>
        <v>1</v>
      </c>
      <c r="AG22" s="270"/>
      <c r="AH22" s="250" t="s">
        <v>12</v>
      </c>
      <c r="AI22" s="294">
        <f>config!J74</f>
        <v>5531.31</v>
      </c>
      <c r="AJ22" s="293" t="e">
        <f>IF(AN24&gt;AI21,IF(AN24&lt;=AI22,config!M74,0),0)</f>
        <v>#VALUE!</v>
      </c>
      <c r="AK22" s="250" t="e">
        <f>IF(K22&gt;AI21,IF(K22&lt;=AI22,config!M74,0),0)</f>
        <v>#VALUE!</v>
      </c>
      <c r="AL22" s="380" t="e">
        <f>IF(K20&gt;AI21,IF(AN24&lt;=AI22,config!M74,0),0)</f>
        <v>#VALUE!</v>
      </c>
      <c r="AM22" s="372" t="s">
        <v>193</v>
      </c>
      <c r="AN22" s="372">
        <f>IF(config!O76="sim",calculo!K18,0)</f>
        <v>0</v>
      </c>
      <c r="AO22" s="373"/>
    </row>
    <row r="23" spans="1:46" ht="6" customHeight="1">
      <c r="C23" s="248"/>
      <c r="D23" s="288"/>
      <c r="E23" s="288"/>
      <c r="F23" s="288"/>
      <c r="G23" s="288"/>
      <c r="H23" s="288"/>
      <c r="I23" s="288"/>
      <c r="J23" s="288"/>
      <c r="K23" s="290"/>
      <c r="L23" s="290"/>
      <c r="M23" s="290"/>
      <c r="N23" s="290"/>
      <c r="O23" s="288"/>
      <c r="P23" s="288"/>
      <c r="Q23" s="288"/>
      <c r="R23" s="288"/>
      <c r="S23" s="288"/>
      <c r="T23" s="288"/>
      <c r="U23" s="288"/>
      <c r="V23" s="288"/>
      <c r="W23" s="288"/>
      <c r="X23" s="288"/>
      <c r="Y23" s="288"/>
      <c r="Z23" s="295"/>
      <c r="AA23" s="295"/>
      <c r="AB23" s="295"/>
      <c r="AC23" s="295"/>
      <c r="AD23" s="419"/>
      <c r="AE23" s="419"/>
      <c r="AF23" s="268"/>
      <c r="AG23" s="270"/>
      <c r="AH23" s="250" t="s">
        <v>13</v>
      </c>
      <c r="AI23" s="294">
        <f>AI22*11%</f>
        <v>608.44410000000005</v>
      </c>
      <c r="AJ23" s="293" t="e">
        <f>IF(AN24&gt;AI22,381.4,0)</f>
        <v>#VALUE!</v>
      </c>
      <c r="AK23" s="250" t="e">
        <f>IF(K22&gt;AI22,381.41,0)</f>
        <v>#VALUE!</v>
      </c>
      <c r="AL23" s="380" t="e">
        <f>IF(K20&gt;AI22,381.4,0)</f>
        <v>#VALUE!</v>
      </c>
      <c r="AM23" s="372" t="s">
        <v>194</v>
      </c>
      <c r="AN23" s="376" t="e">
        <f>K20</f>
        <v>#VALUE!</v>
      </c>
      <c r="AO23" s="373"/>
    </row>
    <row r="24" spans="1:46" ht="12.75" customHeight="1">
      <c r="A24" s="250">
        <f>IF(C24="x",0,1)</f>
        <v>1</v>
      </c>
      <c r="C24" s="441"/>
      <c r="D24" s="288" t="e">
        <f>IF(K24&gt;0,"Férias proporcionais:","")</f>
        <v>#VALUE!</v>
      </c>
      <c r="E24" s="288"/>
      <c r="F24" s="288"/>
      <c r="G24" s="288"/>
      <c r="H24" s="288"/>
      <c r="I24" s="288"/>
      <c r="J24" s="297"/>
      <c r="K24" s="547" t="e">
        <f>(AI12*AI14)*A24</f>
        <v>#VALUE!</v>
      </c>
      <c r="L24" s="547"/>
      <c r="M24" s="547"/>
      <c r="N24" s="547"/>
      <c r="O24" s="298" t="e">
        <f>IF(C24="x",0,IF(AI12&gt;0,AI12,""))</f>
        <v>#VALUE!</v>
      </c>
      <c r="P24" s="298" t="e">
        <f>IF(C24="x","",IF(O24="","",IF(O24=1,"mês","meses")))</f>
        <v>#VALUE!</v>
      </c>
      <c r="R24" s="248"/>
      <c r="S24" s="288"/>
      <c r="T24" s="299" t="e">
        <f>IF(Z24&gt;0,"Contrib. Confed.:","")</f>
        <v>#VALUE!</v>
      </c>
      <c r="U24" s="299"/>
      <c r="V24" s="299"/>
      <c r="W24" s="299"/>
      <c r="X24" s="299"/>
      <c r="Y24" s="299"/>
      <c r="Z24" s="548" t="e">
        <f>IF(AH57&gt;0,IF(AH56&gt;AH57,AH57,AH56),AH56)*AF24</f>
        <v>#VALUE!</v>
      </c>
      <c r="AA24" s="548"/>
      <c r="AB24" s="548"/>
      <c r="AC24" s="548"/>
      <c r="AD24" s="441"/>
      <c r="AE24" s="417"/>
      <c r="AF24" s="268">
        <f>IF(AD24="x",0,1)</f>
        <v>1</v>
      </c>
      <c r="AG24" s="300"/>
      <c r="AH24" s="250" t="s">
        <v>16</v>
      </c>
      <c r="AI24" s="293"/>
      <c r="AJ24" s="293" t="e">
        <f>IF(AN24&lt;=AI22,SUM(AJ20:AJ22),0)</f>
        <v>#VALUE!</v>
      </c>
      <c r="AK24" s="293" t="e">
        <f>IF(K22&lt;=AI22,SUM(AK20:AK22),0)</f>
        <v>#VALUE!</v>
      </c>
      <c r="AL24" s="381" t="e">
        <f>IF(K20&lt;=AI22,SUM(AL20:AL22),0)</f>
        <v>#VALUE!</v>
      </c>
      <c r="AM24" s="378" t="s">
        <v>66</v>
      </c>
      <c r="AN24" s="377" t="e">
        <f>SUM(AN21:AN23)</f>
        <v>#VALUE!</v>
      </c>
      <c r="AO24" s="375"/>
    </row>
    <row r="25" spans="1:46" ht="6" customHeight="1">
      <c r="C25" s="248"/>
      <c r="D25" s="288"/>
      <c r="E25" s="288"/>
      <c r="F25" s="288"/>
      <c r="G25" s="288"/>
      <c r="H25" s="288"/>
      <c r="I25" s="288"/>
      <c r="J25" s="288"/>
      <c r="K25" s="290"/>
      <c r="L25" s="290"/>
      <c r="M25" s="290"/>
      <c r="N25" s="290"/>
      <c r="O25" s="288"/>
      <c r="P25" s="288"/>
      <c r="Q25" s="288"/>
      <c r="R25" s="288"/>
      <c r="S25" s="288"/>
      <c r="T25" s="288"/>
      <c r="U25" s="288"/>
      <c r="V25" s="288"/>
      <c r="W25" s="288"/>
      <c r="X25" s="288"/>
      <c r="Y25" s="288"/>
      <c r="Z25" s="295"/>
      <c r="AA25" s="295"/>
      <c r="AB25" s="295"/>
      <c r="AC25" s="295"/>
      <c r="AD25" s="419"/>
      <c r="AE25" s="419"/>
      <c r="AF25" s="268"/>
      <c r="AG25" s="270"/>
    </row>
    <row r="26" spans="1:46" ht="12.75" customHeight="1">
      <c r="A26" s="250">
        <f>IF(C26="x",0,1)</f>
        <v>1</v>
      </c>
      <c r="C26" s="441"/>
      <c r="D26" s="288" t="e">
        <f>IF(K26&gt;0,"1/3 Férias proporcionais:","")</f>
        <v>#VALUE!</v>
      </c>
      <c r="E26" s="288"/>
      <c r="F26" s="288"/>
      <c r="G26" s="288"/>
      <c r="H26" s="288"/>
      <c r="I26" s="288"/>
      <c r="J26" s="288"/>
      <c r="K26" s="549" t="e">
        <f>(K24/3)*A26</f>
        <v>#VALUE!</v>
      </c>
      <c r="L26" s="549"/>
      <c r="M26" s="549"/>
      <c r="N26" s="549"/>
      <c r="O26" s="288"/>
      <c r="P26" s="288"/>
      <c r="Q26" s="288"/>
      <c r="R26" s="288"/>
      <c r="S26" s="288"/>
      <c r="T26" s="276" t="str">
        <f>IF(Z26=0,"","Aviso não cumprido:")</f>
        <v/>
      </c>
      <c r="U26" s="288"/>
      <c r="V26" s="288"/>
      <c r="W26" s="288"/>
      <c r="X26" s="288"/>
      <c r="Y26" s="281"/>
      <c r="Z26" s="543">
        <f>IF(K8="Pedido de demissão",IF(AI5&lt;=Z10,0,(AI5-Z10)*AI13),0)*AF26</f>
        <v>0</v>
      </c>
      <c r="AA26" s="543"/>
      <c r="AB26" s="543"/>
      <c r="AC26" s="543"/>
      <c r="AD26" s="441"/>
      <c r="AE26" s="417"/>
      <c r="AF26" s="268">
        <f>IF(AD26="x",0,1)</f>
        <v>1</v>
      </c>
      <c r="AG26" s="300"/>
      <c r="AH26" s="250" t="s">
        <v>19</v>
      </c>
      <c r="AQ26" s="301"/>
      <c r="AT26" s="301"/>
    </row>
    <row r="27" spans="1:46" ht="6" customHeight="1">
      <c r="C27" s="248"/>
      <c r="D27" s="288"/>
      <c r="E27" s="288"/>
      <c r="F27" s="288"/>
      <c r="G27" s="288"/>
      <c r="H27" s="288"/>
      <c r="I27" s="288"/>
      <c r="J27" s="288"/>
      <c r="K27" s="290"/>
      <c r="L27" s="290"/>
      <c r="M27" s="290"/>
      <c r="N27" s="290"/>
      <c r="O27" s="288"/>
      <c r="P27" s="288"/>
      <c r="Q27" s="288"/>
      <c r="R27" s="288"/>
      <c r="S27" s="288"/>
      <c r="T27" s="288"/>
      <c r="U27" s="288"/>
      <c r="V27" s="288"/>
      <c r="W27" s="288"/>
      <c r="X27" s="288"/>
      <c r="Y27" s="288"/>
      <c r="Z27" s="295"/>
      <c r="AA27" s="295"/>
      <c r="AB27" s="295"/>
      <c r="AC27" s="295"/>
      <c r="AD27" s="419"/>
      <c r="AE27" s="419"/>
      <c r="AF27" s="268"/>
      <c r="AG27" s="270"/>
      <c r="AI27" s="250" t="s">
        <v>22</v>
      </c>
      <c r="AJ27" s="250" t="s">
        <v>20</v>
      </c>
      <c r="AK27" s="250" t="s">
        <v>21</v>
      </c>
      <c r="AL27" s="301" t="s">
        <v>28</v>
      </c>
      <c r="AM27" s="301" t="s">
        <v>29</v>
      </c>
      <c r="AN27" s="301" t="s">
        <v>178</v>
      </c>
      <c r="AO27" s="368" t="s">
        <v>195</v>
      </c>
      <c r="AP27" s="369"/>
      <c r="AQ27" s="370"/>
      <c r="AS27" s="301"/>
    </row>
    <row r="28" spans="1:46" ht="12.75" customHeight="1">
      <c r="A28" s="250">
        <f>IF(C28="x",0,1)</f>
        <v>1</v>
      </c>
      <c r="C28" s="441"/>
      <c r="D28" s="288" t="str">
        <f>IF(K28=0,"","Férias vencidas:")</f>
        <v/>
      </c>
      <c r="E28" s="288"/>
      <c r="F28" s="288"/>
      <c r="G28" s="288"/>
      <c r="H28" s="288"/>
      <c r="I28" s="281"/>
      <c r="J28" s="288"/>
      <c r="K28" s="547">
        <f>IF(K14="sim",IF(mascara!K16="",H12,0),0)*A28</f>
        <v>0</v>
      </c>
      <c r="L28" s="547"/>
      <c r="M28" s="547"/>
      <c r="N28" s="547"/>
      <c r="O28" s="303"/>
      <c r="P28" s="303"/>
      <c r="Q28" s="303"/>
      <c r="R28" s="303"/>
      <c r="S28" s="288"/>
      <c r="T28" s="288" t="e">
        <f>IF(Z28=0,"","IRPF 13º:")</f>
        <v>#VALUE!</v>
      </c>
      <c r="U28" s="276"/>
      <c r="V28" s="276"/>
      <c r="W28" s="276"/>
      <c r="X28" s="276"/>
      <c r="Y28" s="276"/>
      <c r="Z28" s="547" t="e">
        <f>IF(SUM(AM29:AM32)&gt;0,SUM(AM29:AM32),0)*AF28</f>
        <v>#VALUE!</v>
      </c>
      <c r="AA28" s="547"/>
      <c r="AB28" s="547"/>
      <c r="AC28" s="547"/>
      <c r="AD28" s="441"/>
      <c r="AE28" s="417"/>
      <c r="AF28" s="268">
        <f>IF(AD28="x",0,1)</f>
        <v>1</v>
      </c>
      <c r="AG28" s="300"/>
      <c r="AH28" s="304">
        <f>config!F60</f>
        <v>1903.98</v>
      </c>
      <c r="AI28" s="304">
        <f>AH28</f>
        <v>1903.98</v>
      </c>
      <c r="AJ28" s="250">
        <f>config!M60</f>
        <v>0</v>
      </c>
      <c r="AK28" s="301">
        <f>config!P60</f>
        <v>0</v>
      </c>
      <c r="AL28" s="301"/>
      <c r="AO28" s="371" t="s">
        <v>192</v>
      </c>
      <c r="AP28" s="372" t="e">
        <f>IF(mascara!#REF!="sim",mascara!E24,0)</f>
        <v>#REF!</v>
      </c>
      <c r="AQ28" s="373"/>
      <c r="AS28" s="304"/>
      <c r="AT28" s="302"/>
    </row>
    <row r="29" spans="1:46" ht="6" customHeight="1">
      <c r="C29" s="248"/>
      <c r="D29" s="288"/>
      <c r="E29" s="288"/>
      <c r="F29" s="288"/>
      <c r="G29" s="288"/>
      <c r="H29" s="288"/>
      <c r="I29" s="288"/>
      <c r="J29" s="288"/>
      <c r="K29" s="290"/>
      <c r="L29" s="290"/>
      <c r="M29" s="290"/>
      <c r="N29" s="290"/>
      <c r="O29" s="288"/>
      <c r="P29" s="288"/>
      <c r="Q29" s="288"/>
      <c r="R29" s="288"/>
      <c r="S29" s="288"/>
      <c r="T29" s="288"/>
      <c r="U29" s="288"/>
      <c r="V29" s="288"/>
      <c r="W29" s="288"/>
      <c r="X29" s="288"/>
      <c r="Y29" s="288"/>
      <c r="Z29" s="295"/>
      <c r="AA29" s="295"/>
      <c r="AB29" s="295"/>
      <c r="AC29" s="295"/>
      <c r="AD29" s="419"/>
      <c r="AE29" s="419"/>
      <c r="AF29" s="268"/>
      <c r="AG29" s="270"/>
      <c r="AH29" s="304">
        <f>config!J61</f>
        <v>2826.65</v>
      </c>
      <c r="AI29" s="304">
        <f>AH29</f>
        <v>2826.65</v>
      </c>
      <c r="AJ29" s="305">
        <f>config!M61</f>
        <v>7.4999999999999997E-2</v>
      </c>
      <c r="AK29" s="306">
        <f>config!P61</f>
        <v>142.80000000000001</v>
      </c>
      <c r="AL29" s="302" t="e">
        <f>IF($AI$34&gt;$AH28,IF($AI$34&lt;=$AI29,($AI$34*$AJ29)-$AK29,0),0)</f>
        <v>#VALUE!</v>
      </c>
      <c r="AM29" s="302" t="e">
        <f>IF($AI$35&gt;$AH28,IF($AI$35&lt;=$AI29,($AI$35*$AJ29)-$AK29,0),0)</f>
        <v>#VALUE!</v>
      </c>
      <c r="AN29" s="304">
        <f>IF($AI$36&gt;$AH28,IF($AI$36&lt;=$AI29,($AI$36*$AJ29)-$AK29,0),0)</f>
        <v>0</v>
      </c>
      <c r="AO29" s="371" t="s">
        <v>193</v>
      </c>
      <c r="AP29" s="372">
        <f>IF(config!Q83="sim",calculo!M25,0)</f>
        <v>0</v>
      </c>
      <c r="AQ29" s="373"/>
      <c r="AR29" s="304"/>
      <c r="AS29" s="302"/>
    </row>
    <row r="30" spans="1:46" ht="12.75" customHeight="1">
      <c r="A30" s="250">
        <f>IF(C30="x",0,1)</f>
        <v>1</v>
      </c>
      <c r="C30" s="441"/>
      <c r="D30" s="288" t="str">
        <f>IF(K30=0,"","1/3 Férias vencidas:")</f>
        <v/>
      </c>
      <c r="E30" s="288"/>
      <c r="F30" s="288"/>
      <c r="G30" s="288"/>
      <c r="H30" s="288"/>
      <c r="I30" s="288"/>
      <c r="J30" s="281"/>
      <c r="K30" s="547">
        <f>(IF(K28=0,0,K28/3))*A30</f>
        <v>0</v>
      </c>
      <c r="L30" s="547"/>
      <c r="M30" s="547"/>
      <c r="N30" s="547"/>
      <c r="O30" s="303"/>
      <c r="P30" s="303"/>
      <c r="Q30" s="303"/>
      <c r="R30" s="303"/>
      <c r="S30" s="307"/>
      <c r="T30" s="288" t="e">
        <f>IF(Z30=0,"","IRPF:")</f>
        <v>#VALUE!</v>
      </c>
      <c r="U30" s="288"/>
      <c r="V30" s="288"/>
      <c r="W30" s="288"/>
      <c r="X30" s="288"/>
      <c r="Y30" s="288"/>
      <c r="Z30" s="547" t="e">
        <f>IF(SUM(AL29:AL32)&gt;0,SUM(AL29:AL32),0)*AF30</f>
        <v>#VALUE!</v>
      </c>
      <c r="AA30" s="547"/>
      <c r="AB30" s="547"/>
      <c r="AC30" s="547"/>
      <c r="AD30" s="441"/>
      <c r="AE30" s="417"/>
      <c r="AF30" s="268">
        <f>IF(AD30="x",0,1)</f>
        <v>1</v>
      </c>
      <c r="AG30" s="270"/>
      <c r="AH30" s="304">
        <f>config!J62</f>
        <v>3751.05</v>
      </c>
      <c r="AI30" s="304">
        <f>AH30</f>
        <v>3751.05</v>
      </c>
      <c r="AJ30" s="308">
        <f>config!M62</f>
        <v>0.15</v>
      </c>
      <c r="AK30" s="306">
        <f>config!P62</f>
        <v>354.8</v>
      </c>
      <c r="AL30" s="302" t="e">
        <f>IF(AI34&gt;AI29,IF(AI34&lt;=AI30,(AI34*AJ30)-AK30,0),0)</f>
        <v>#VALUE!</v>
      </c>
      <c r="AM30" s="302" t="e">
        <f>IF($AI$35&gt;$AH29,IF($AI$35&lt;=$AI30,($AI$35*$AJ30)-$AK30,0),0)</f>
        <v>#VALUE!</v>
      </c>
      <c r="AN30" s="304">
        <f>IF($AI$36&gt;$AH29,IF($AI$36&lt;=$AI30,($AI$36*$AJ30)-$AK30,0),0)</f>
        <v>0</v>
      </c>
      <c r="AO30" s="371" t="s">
        <v>194</v>
      </c>
      <c r="AP30" s="376">
        <f>M27</f>
        <v>0</v>
      </c>
      <c r="AQ30" s="373"/>
      <c r="AS30" s="304"/>
      <c r="AT30" s="302"/>
    </row>
    <row r="31" spans="1:46" ht="6" customHeight="1">
      <c r="C31" s="248"/>
      <c r="D31" s="288"/>
      <c r="E31" s="288"/>
      <c r="F31" s="288"/>
      <c r="G31" s="288"/>
      <c r="H31" s="288"/>
      <c r="I31" s="288"/>
      <c r="J31" s="288"/>
      <c r="K31" s="290"/>
      <c r="L31" s="290"/>
      <c r="M31" s="290"/>
      <c r="N31" s="290"/>
      <c r="O31" s="303"/>
      <c r="P31" s="303"/>
      <c r="Q31" s="303"/>
      <c r="R31" s="303"/>
      <c r="S31" s="307"/>
      <c r="T31" s="307"/>
      <c r="U31" s="307"/>
      <c r="V31" s="307"/>
      <c r="W31" s="307"/>
      <c r="X31" s="307"/>
      <c r="Y31" s="307"/>
      <c r="Z31" s="290"/>
      <c r="AA31" s="290"/>
      <c r="AB31" s="290"/>
      <c r="AC31" s="290"/>
      <c r="AD31" s="290"/>
      <c r="AE31" s="290"/>
      <c r="AF31" s="268"/>
      <c r="AG31" s="270"/>
      <c r="AH31" s="304">
        <f>config!J63</f>
        <v>4664.68</v>
      </c>
      <c r="AI31" s="304">
        <f>AH31</f>
        <v>4664.68</v>
      </c>
      <c r="AJ31" s="305">
        <f>config!M63</f>
        <v>0.22500000000000001</v>
      </c>
      <c r="AK31" s="306">
        <f>config!P63</f>
        <v>636.13</v>
      </c>
      <c r="AL31" s="302" t="e">
        <f>IF($AI$34&gt;$AH30,IF($AI$34&lt;=$AI31,($AI$34*$AJ31)-$AK31,0),0)</f>
        <v>#VALUE!</v>
      </c>
      <c r="AM31" s="302" t="e">
        <f>IF($AI$35&gt;$AH30,IF($AI$35&lt;=$AI31,($AI$35*$AJ31)-$AK31,0),0)</f>
        <v>#VALUE!</v>
      </c>
      <c r="AN31" s="304">
        <f>IF($AI$36&gt;$AH30,IF($AI$36&lt;=$AI31,($AI$36*$AJ31)-$AK31,0),0)</f>
        <v>0</v>
      </c>
      <c r="AO31" s="374" t="s">
        <v>66</v>
      </c>
      <c r="AP31" s="377" t="e">
        <f>SUM(AP28:AP30)</f>
        <v>#REF!</v>
      </c>
      <c r="AQ31" s="375"/>
      <c r="AR31" s="304"/>
      <c r="AS31" s="302"/>
    </row>
    <row r="32" spans="1:46" ht="12.75" customHeight="1">
      <c r="A32" s="250">
        <f>IF(C32="x",0,1)</f>
        <v>1</v>
      </c>
      <c r="C32" s="441"/>
      <c r="D32" s="288" t="e">
        <f>IF(K32=0,"","Salário família:")</f>
        <v>#VALUE!</v>
      </c>
      <c r="E32" s="288"/>
      <c r="F32" s="288"/>
      <c r="G32" s="288"/>
      <c r="H32" s="288"/>
      <c r="I32" s="288"/>
      <c r="K32" s="549" t="e">
        <f>IF(SUM(AK44:AK45)&gt;0,SUM(AK44:AK45),0)*A32</f>
        <v>#VALUE!</v>
      </c>
      <c r="L32" s="549"/>
      <c r="M32" s="549"/>
      <c r="N32" s="549"/>
      <c r="O32" s="310"/>
      <c r="P32" s="298"/>
      <c r="Q32" s="278"/>
      <c r="R32" s="278"/>
      <c r="S32" s="278"/>
      <c r="T32" s="276" t="str">
        <f>IF(mascara!R24&gt;0,mascara!O24,"")</f>
        <v/>
      </c>
      <c r="U32" s="288"/>
      <c r="V32" s="288"/>
      <c r="W32" s="288"/>
      <c r="X32" s="288"/>
      <c r="Y32" s="288"/>
      <c r="Z32" s="543">
        <f>IF(mascara!R24&gt;0,mascara!R24,0)</f>
        <v>0</v>
      </c>
      <c r="AA32" s="543"/>
      <c r="AB32" s="543"/>
      <c r="AC32" s="543"/>
      <c r="AD32" s="417"/>
      <c r="AE32" s="417"/>
      <c r="AF32" s="268"/>
      <c r="AG32" s="270"/>
      <c r="AH32" s="250" t="s">
        <v>23</v>
      </c>
      <c r="AI32" s="305"/>
      <c r="AJ32" s="305">
        <f>config!M64</f>
        <v>0.27500000000000002</v>
      </c>
      <c r="AK32" s="306">
        <f>config!P64</f>
        <v>869.36</v>
      </c>
      <c r="AL32" s="302" t="e">
        <f>IF($AI34&gt;$AI31,($AI34*$AJ32)-$AK32,0)</f>
        <v>#VALUE!</v>
      </c>
      <c r="AM32" s="304" t="e">
        <f>IF(AI35&gt;AI31,(AI35*AJ32)-AK32,0)</f>
        <v>#VALUE!</v>
      </c>
      <c r="AN32" s="304">
        <f>IF(AI36&gt;AI31,(AI36*AJ32)-AK32,0)</f>
        <v>0</v>
      </c>
      <c r="AO32" s="304"/>
    </row>
    <row r="33" spans="1:39" ht="6" customHeight="1">
      <c r="C33" s="248"/>
      <c r="D33" s="288"/>
      <c r="E33" s="288"/>
      <c r="F33" s="288"/>
      <c r="G33" s="288"/>
      <c r="H33" s="288"/>
      <c r="I33" s="288"/>
      <c r="J33" s="288"/>
      <c r="K33" s="311"/>
      <c r="L33" s="312"/>
      <c r="M33" s="312"/>
      <c r="N33" s="312"/>
      <c r="O33" s="307"/>
      <c r="P33" s="307"/>
      <c r="Q33" s="307"/>
      <c r="R33" s="307"/>
      <c r="S33" s="307"/>
      <c r="T33" s="307"/>
      <c r="U33" s="307"/>
      <c r="V33" s="307"/>
      <c r="W33" s="307"/>
      <c r="X33" s="307"/>
      <c r="Y33" s="307"/>
      <c r="Z33" s="290"/>
      <c r="AA33" s="290"/>
      <c r="AB33" s="290"/>
      <c r="AC33" s="290"/>
      <c r="AD33" s="290"/>
      <c r="AE33" s="290"/>
      <c r="AF33" s="276"/>
      <c r="AG33" s="270"/>
      <c r="AH33" s="250" t="s">
        <v>27</v>
      </c>
      <c r="AI33" s="304">
        <f>config!K66</f>
        <v>189.59</v>
      </c>
      <c r="AJ33" s="313">
        <f>AI33*Z14</f>
        <v>0</v>
      </c>
    </row>
    <row r="34" spans="1:39" ht="12.75" customHeight="1">
      <c r="A34" s="250">
        <f>IF(C34="x",0,1)</f>
        <v>1</v>
      </c>
      <c r="C34" s="441"/>
      <c r="D34" s="314" t="str">
        <f>IF(K34&lt;=0,"","Aviso prévio indenizado CCT")</f>
        <v/>
      </c>
      <c r="E34" s="288"/>
      <c r="F34" s="288"/>
      <c r="G34" s="288"/>
      <c r="H34" s="288"/>
      <c r="I34" s="288"/>
      <c r="J34" s="288"/>
      <c r="K34" s="549">
        <f>IF(AP8&gt;0,AP8*AI13,0)*A34</f>
        <v>0</v>
      </c>
      <c r="L34" s="549"/>
      <c r="M34" s="549"/>
      <c r="N34" s="549"/>
      <c r="O34" s="307">
        <f>IF(C34="x",0,IF(AP8&gt;0,AP8,0))</f>
        <v>0</v>
      </c>
      <c r="P34" s="298" t="str">
        <f>IF(O34=0,"",IF(O34=1,"dia","dias"))</f>
        <v/>
      </c>
      <c r="Q34" s="307"/>
      <c r="R34" s="307"/>
      <c r="S34" s="303"/>
      <c r="U34" s="303"/>
      <c r="V34" s="303"/>
      <c r="W34" s="303"/>
      <c r="X34" s="303"/>
      <c r="Y34" s="303"/>
      <c r="AD34" s="418"/>
      <c r="AE34" s="418"/>
      <c r="AF34" s="268"/>
      <c r="AG34" s="270"/>
      <c r="AH34" s="250" t="s">
        <v>197</v>
      </c>
      <c r="AI34" s="315" t="e">
        <f>IF(mascara!L24="sim",(K20+K36)-Z20-AJ33,K20-(K20*AL24)-AJ33)</f>
        <v>#VALUE!</v>
      </c>
    </row>
    <row r="35" spans="1:39" ht="6" customHeight="1">
      <c r="C35" s="248"/>
      <c r="D35" s="288"/>
      <c r="E35" s="288"/>
      <c r="F35" s="288"/>
      <c r="G35" s="288"/>
      <c r="H35" s="288"/>
      <c r="I35" s="288"/>
      <c r="J35" s="288"/>
      <c r="K35" s="316"/>
      <c r="L35" s="316"/>
      <c r="M35" s="316"/>
      <c r="N35" s="316"/>
      <c r="O35" s="307"/>
      <c r="P35" s="307"/>
      <c r="Q35" s="307"/>
      <c r="R35" s="307"/>
      <c r="S35" s="303"/>
      <c r="T35" s="303"/>
      <c r="U35" s="303"/>
      <c r="V35" s="303"/>
      <c r="W35" s="303"/>
      <c r="X35" s="303"/>
      <c r="Y35" s="303"/>
      <c r="Z35" s="317"/>
      <c r="AA35" s="317"/>
      <c r="AB35" s="317"/>
      <c r="AC35" s="317"/>
      <c r="AD35" s="317"/>
      <c r="AE35" s="317"/>
      <c r="AF35" s="276"/>
      <c r="AG35" s="270"/>
      <c r="AH35" s="250" t="s">
        <v>26</v>
      </c>
      <c r="AI35" s="318" t="e">
        <f>(K22)-Z22-AJ33</f>
        <v>#VALUE!</v>
      </c>
    </row>
    <row r="36" spans="1:39" ht="12.75" customHeight="1">
      <c r="C36" s="248"/>
      <c r="D36" s="288" t="str">
        <f>IF(mascara!E24&gt;0,"Outros:","")</f>
        <v/>
      </c>
      <c r="E36" s="288"/>
      <c r="F36" s="288"/>
      <c r="G36" s="288"/>
      <c r="H36" s="288"/>
      <c r="I36" s="288"/>
      <c r="J36" s="288"/>
      <c r="K36" s="549">
        <f>IF(mascara!E24&gt;0,mascara!E24,0)</f>
        <v>0</v>
      </c>
      <c r="L36" s="549"/>
      <c r="M36" s="549"/>
      <c r="N36" s="549"/>
      <c r="O36" s="288"/>
      <c r="P36" s="288"/>
      <c r="Q36" s="288"/>
      <c r="R36" s="288"/>
      <c r="S36" s="303"/>
      <c r="T36" s="276"/>
      <c r="U36" s="303"/>
      <c r="V36" s="303"/>
      <c r="W36" s="303"/>
      <c r="X36" s="303"/>
      <c r="Y36" s="303"/>
      <c r="Z36" s="543"/>
      <c r="AA36" s="543"/>
      <c r="AB36" s="543"/>
      <c r="AC36" s="543"/>
      <c r="AD36" s="418"/>
      <c r="AE36" s="418"/>
      <c r="AF36" s="276"/>
      <c r="AG36" s="270"/>
      <c r="AI36" s="319"/>
    </row>
    <row r="37" spans="1:39" ht="6" customHeight="1">
      <c r="C37" s="248"/>
      <c r="D37" s="288"/>
      <c r="E37" s="288"/>
      <c r="F37" s="288"/>
      <c r="G37" s="288"/>
      <c r="H37" s="288"/>
      <c r="I37" s="288"/>
      <c r="J37" s="288"/>
      <c r="K37" s="316"/>
      <c r="L37" s="316"/>
      <c r="M37" s="316"/>
      <c r="N37" s="316"/>
      <c r="O37" s="307"/>
      <c r="P37" s="307"/>
      <c r="Q37" s="307"/>
      <c r="R37" s="307"/>
      <c r="S37" s="307"/>
      <c r="T37" s="307"/>
      <c r="U37" s="307"/>
      <c r="V37" s="307"/>
      <c r="W37" s="307"/>
      <c r="X37" s="307"/>
      <c r="Y37" s="307"/>
      <c r="Z37" s="307"/>
      <c r="AA37" s="307"/>
      <c r="AB37" s="307"/>
      <c r="AC37" s="307"/>
      <c r="AD37" s="307"/>
      <c r="AE37" s="307"/>
      <c r="AF37" s="276"/>
      <c r="AG37" s="270"/>
    </row>
    <row r="38" spans="1:39" ht="12.75" customHeight="1">
      <c r="C38" s="441"/>
      <c r="D38" s="250" t="str">
        <f>IF(K38&gt;0,"Multa , Lei Nº 7.238/84","")</f>
        <v/>
      </c>
      <c r="E38" s="288"/>
      <c r="F38" s="288"/>
      <c r="G38" s="288"/>
      <c r="H38" s="288"/>
      <c r="I38" s="288"/>
      <c r="J38" s="288"/>
      <c r="K38" s="549">
        <f>IF(C38="x",0,IF(AI4&gt;0,AI4,0))</f>
        <v>0</v>
      </c>
      <c r="L38" s="549"/>
      <c r="M38" s="549"/>
      <c r="N38" s="549"/>
      <c r="O38" s="288"/>
      <c r="P38" s="288"/>
      <c r="Q38" s="288"/>
      <c r="R38" s="288"/>
      <c r="S38" s="288"/>
      <c r="T38" s="288"/>
      <c r="U38" s="288"/>
      <c r="V38" s="288"/>
      <c r="W38" s="288"/>
      <c r="X38" s="288"/>
      <c r="Y38" s="288"/>
      <c r="Z38" s="288"/>
      <c r="AA38" s="288"/>
      <c r="AB38" s="288"/>
      <c r="AC38" s="288"/>
      <c r="AD38" s="288"/>
      <c r="AE38" s="288"/>
      <c r="AF38" s="268"/>
      <c r="AG38" s="270"/>
      <c r="AH38" s="250" t="s">
        <v>38</v>
      </c>
      <c r="AI38" s="250" t="s">
        <v>35</v>
      </c>
    </row>
    <row r="39" spans="1:39" ht="6" customHeight="1">
      <c r="C39" s="248"/>
      <c r="D39" s="288"/>
      <c r="E39" s="288"/>
      <c r="F39" s="288"/>
      <c r="G39" s="288"/>
      <c r="H39" s="288"/>
      <c r="I39" s="288"/>
      <c r="J39" s="288"/>
      <c r="K39" s="316"/>
      <c r="L39" s="316"/>
      <c r="M39" s="316"/>
      <c r="N39" s="316"/>
      <c r="O39" s="288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288"/>
      <c r="AB39" s="288"/>
      <c r="AC39" s="288"/>
      <c r="AD39" s="288"/>
      <c r="AE39" s="288"/>
      <c r="AF39" s="268"/>
      <c r="AG39" s="270"/>
      <c r="AH39" s="250" t="s">
        <v>30</v>
      </c>
      <c r="AI39" s="250" t="s">
        <v>36</v>
      </c>
    </row>
    <row r="40" spans="1:39" ht="12.75" customHeight="1">
      <c r="C40" s="248"/>
      <c r="D40" s="288"/>
      <c r="E40" s="288"/>
      <c r="F40" s="288"/>
      <c r="G40" s="288"/>
      <c r="H40" s="288"/>
      <c r="I40" s="288"/>
      <c r="J40" s="288"/>
      <c r="K40" s="549"/>
      <c r="L40" s="549"/>
      <c r="M40" s="549"/>
      <c r="N40" s="549"/>
      <c r="O40" s="288"/>
      <c r="P40" s="288"/>
      <c r="Q40" s="288"/>
      <c r="R40" s="288"/>
      <c r="S40" s="288"/>
      <c r="T40" s="288"/>
      <c r="U40" s="288"/>
      <c r="V40" s="288"/>
      <c r="W40" s="288"/>
      <c r="X40" s="288"/>
      <c r="Y40" s="288"/>
      <c r="Z40" s="288"/>
      <c r="AA40" s="288"/>
      <c r="AB40" s="288"/>
      <c r="AC40" s="288"/>
      <c r="AD40" s="288"/>
      <c r="AE40" s="288"/>
      <c r="AF40" s="268"/>
      <c r="AG40" s="300"/>
      <c r="AH40" s="250" t="s">
        <v>31</v>
      </c>
      <c r="AI40" s="250" t="s">
        <v>37</v>
      </c>
    </row>
    <row r="41" spans="1:39" ht="6" customHeight="1">
      <c r="C41" s="248"/>
      <c r="D41" s="288"/>
      <c r="E41" s="288"/>
      <c r="F41" s="288"/>
      <c r="G41" s="288"/>
      <c r="H41" s="288"/>
      <c r="I41" s="288"/>
      <c r="J41" s="288"/>
      <c r="K41" s="316"/>
      <c r="L41" s="316"/>
      <c r="M41" s="316"/>
      <c r="N41" s="316"/>
      <c r="O41" s="288"/>
      <c r="P41" s="288"/>
      <c r="Q41" s="288"/>
      <c r="R41" s="288"/>
      <c r="S41" s="288"/>
      <c r="T41" s="288"/>
      <c r="U41" s="288"/>
      <c r="V41" s="288"/>
      <c r="W41" s="288"/>
      <c r="X41" s="288"/>
      <c r="Y41" s="288"/>
      <c r="Z41" s="288"/>
      <c r="AA41" s="288"/>
      <c r="AB41" s="288"/>
      <c r="AC41" s="288"/>
      <c r="AD41" s="288"/>
      <c r="AE41" s="288"/>
      <c r="AF41" s="268"/>
      <c r="AG41" s="320"/>
    </row>
    <row r="42" spans="1:39" ht="12.75" customHeight="1">
      <c r="C42" s="248"/>
      <c r="D42" s="573"/>
      <c r="E42" s="573"/>
      <c r="F42" s="573"/>
      <c r="G42" s="573"/>
      <c r="H42" s="573"/>
      <c r="I42" s="573"/>
      <c r="J42" s="573"/>
      <c r="K42" s="549"/>
      <c r="L42" s="549"/>
      <c r="M42" s="549"/>
      <c r="N42" s="549"/>
      <c r="O42" s="321"/>
      <c r="P42" s="278"/>
      <c r="Q42" s="278"/>
      <c r="R42" s="278"/>
      <c r="S42" s="288"/>
      <c r="T42" s="288"/>
      <c r="U42" s="288"/>
      <c r="V42" s="288"/>
      <c r="W42" s="288"/>
      <c r="X42" s="288"/>
      <c r="Y42" s="288"/>
      <c r="Z42" s="288"/>
      <c r="AA42" s="288"/>
      <c r="AB42" s="288"/>
      <c r="AC42" s="288"/>
      <c r="AD42" s="288"/>
      <c r="AE42" s="288"/>
      <c r="AF42" s="268"/>
      <c r="AG42" s="320"/>
      <c r="AH42" s="539" t="s">
        <v>41</v>
      </c>
      <c r="AI42" s="539" t="s">
        <v>40</v>
      </c>
    </row>
    <row r="43" spans="1:39" ht="9.75" customHeight="1">
      <c r="C43" s="248"/>
      <c r="D43" s="288"/>
      <c r="E43" s="288"/>
      <c r="F43" s="288"/>
      <c r="G43" s="288"/>
      <c r="H43" s="288"/>
      <c r="I43" s="288"/>
      <c r="J43" s="288"/>
      <c r="K43" s="316"/>
      <c r="L43" s="316"/>
      <c r="M43" s="316"/>
      <c r="N43" s="316"/>
      <c r="O43" s="288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288"/>
      <c r="AB43" s="288"/>
      <c r="AC43" s="288"/>
      <c r="AD43" s="288"/>
      <c r="AE43" s="288"/>
      <c r="AF43" s="268"/>
      <c r="AG43" s="322"/>
      <c r="AH43" s="539"/>
      <c r="AI43" s="539"/>
      <c r="AJ43" s="250" t="s">
        <v>44</v>
      </c>
      <c r="AK43" s="250" t="s">
        <v>45</v>
      </c>
    </row>
    <row r="44" spans="1:39" s="278" customFormat="1" ht="23.25" customHeight="1">
      <c r="A44" s="250"/>
      <c r="B44" s="250"/>
      <c r="C44" s="248"/>
      <c r="D44" s="323" t="s">
        <v>47</v>
      </c>
      <c r="E44" s="324"/>
      <c r="F44" s="324"/>
      <c r="G44" s="324"/>
      <c r="H44" s="324"/>
      <c r="I44" s="324"/>
      <c r="J44" s="550" t="e">
        <f>SUM(K18:N43)</f>
        <v>#VALUE!</v>
      </c>
      <c r="K44" s="550"/>
      <c r="L44" s="550"/>
      <c r="M44" s="550"/>
      <c r="N44" s="551"/>
      <c r="O44" s="325"/>
      <c r="P44" s="268"/>
      <c r="Q44" s="268"/>
      <c r="R44" s="268"/>
      <c r="S44" s="268"/>
      <c r="T44" s="570" t="s">
        <v>1</v>
      </c>
      <c r="U44" s="571"/>
      <c r="V44" s="571"/>
      <c r="W44" s="571"/>
      <c r="X44" s="571"/>
      <c r="Y44" s="552" t="e">
        <f>SUM(Z20:AC43)</f>
        <v>#VALUE!</v>
      </c>
      <c r="Z44" s="553"/>
      <c r="AA44" s="553"/>
      <c r="AB44" s="553"/>
      <c r="AC44" s="554"/>
      <c r="AD44" s="435"/>
      <c r="AE44" s="435"/>
      <c r="AF44" s="326"/>
      <c r="AH44" s="436">
        <f>config!F90</f>
        <v>859.88</v>
      </c>
      <c r="AI44" s="437">
        <f>config!I90</f>
        <v>44.09</v>
      </c>
      <c r="AJ44" s="278">
        <f>IF(H12&lt;=AH44,Z15*AI44,0)</f>
        <v>0</v>
      </c>
      <c r="AK44" s="438" t="e">
        <f>(AJ44/30)*H20</f>
        <v>#VALUE!</v>
      </c>
    </row>
    <row r="45" spans="1:39" s="278" customFormat="1" ht="9" customHeight="1" thickBot="1">
      <c r="A45" s="250"/>
      <c r="B45" s="250"/>
      <c r="C45" s="248"/>
      <c r="D45" s="268"/>
      <c r="E45" s="268"/>
      <c r="F45" s="268"/>
      <c r="G45" s="268"/>
      <c r="H45" s="268"/>
      <c r="I45" s="268"/>
      <c r="J45" s="268"/>
      <c r="K45" s="268"/>
      <c r="L45" s="268"/>
      <c r="M45" s="268"/>
      <c r="N45" s="268"/>
      <c r="O45" s="268"/>
      <c r="P45" s="268"/>
      <c r="Q45" s="268"/>
      <c r="R45" s="268"/>
      <c r="S45" s="268"/>
      <c r="T45" s="268"/>
      <c r="U45" s="268"/>
      <c r="V45" s="268"/>
      <c r="W45" s="268"/>
      <c r="X45" s="268"/>
      <c r="Y45" s="268"/>
      <c r="Z45" s="268"/>
      <c r="AA45" s="268"/>
      <c r="AB45" s="268"/>
      <c r="AC45" s="268"/>
      <c r="AD45" s="276"/>
      <c r="AE45" s="276"/>
      <c r="AF45" s="326"/>
      <c r="AH45" s="436">
        <f>config!F91</f>
        <v>1292.43</v>
      </c>
      <c r="AI45" s="437">
        <f>config!I91</f>
        <v>31.07</v>
      </c>
      <c r="AJ45" s="278">
        <f>IF(H12&gt;AH44,IF(H12&lt;=AH45,Z15*AI45,0),0)</f>
        <v>0</v>
      </c>
      <c r="AK45" s="438" t="e">
        <f>(AJ45/30)*H20</f>
        <v>#VALUE!</v>
      </c>
    </row>
    <row r="46" spans="1:39" s="278" customFormat="1" ht="22.5" customHeight="1" thickBot="1">
      <c r="A46" s="250"/>
      <c r="B46" s="250"/>
      <c r="C46" s="248"/>
      <c r="D46" s="565"/>
      <c r="E46" s="565"/>
      <c r="F46" s="565"/>
      <c r="G46" s="565"/>
      <c r="H46" s="565"/>
      <c r="I46" s="565"/>
      <c r="J46" s="565"/>
      <c r="K46" s="565"/>
      <c r="L46" s="565"/>
      <c r="M46" s="565"/>
      <c r="N46" s="565"/>
      <c r="O46" s="565"/>
      <c r="P46" s="565"/>
      <c r="Q46" s="565"/>
      <c r="R46" s="565"/>
      <c r="S46" s="268"/>
      <c r="T46" s="327" t="s">
        <v>46</v>
      </c>
      <c r="U46" s="328"/>
      <c r="V46" s="328"/>
      <c r="W46" s="328"/>
      <c r="X46" s="328"/>
      <c r="Y46" s="328"/>
      <c r="Z46" s="566" t="e">
        <f>IF(J44&gt;Y44,J44-Y44,0)</f>
        <v>#VALUE!</v>
      </c>
      <c r="AA46" s="567"/>
      <c r="AB46" s="567"/>
      <c r="AC46" s="568"/>
      <c r="AD46" s="435"/>
      <c r="AE46" s="435"/>
      <c r="AF46" s="303"/>
      <c r="AH46" s="436"/>
      <c r="AI46" s="436"/>
    </row>
    <row r="47" spans="1:39" ht="5.25" customHeight="1">
      <c r="C47" s="248"/>
      <c r="D47" s="565"/>
      <c r="E47" s="565"/>
      <c r="F47" s="565"/>
      <c r="G47" s="565"/>
      <c r="H47" s="565"/>
      <c r="I47" s="565"/>
      <c r="J47" s="565"/>
      <c r="K47" s="565"/>
      <c r="L47" s="565"/>
      <c r="M47" s="565"/>
      <c r="N47" s="565"/>
      <c r="O47" s="565"/>
      <c r="P47" s="565"/>
      <c r="Q47" s="565"/>
      <c r="R47" s="565"/>
      <c r="S47" s="268"/>
      <c r="T47" s="268"/>
      <c r="U47" s="268"/>
      <c r="V47" s="268"/>
      <c r="W47" s="268"/>
      <c r="X47" s="268"/>
      <c r="Y47" s="268"/>
      <c r="Z47" s="268"/>
      <c r="AA47" s="268"/>
      <c r="AB47" s="268"/>
      <c r="AC47" s="268"/>
      <c r="AD47" s="268"/>
      <c r="AE47" s="268"/>
      <c r="AF47" s="303"/>
      <c r="AG47" s="278"/>
      <c r="AH47" s="329"/>
      <c r="AI47" s="330" t="s">
        <v>161</v>
      </c>
      <c r="AJ47" s="330" t="s">
        <v>162</v>
      </c>
      <c r="AK47" s="331"/>
      <c r="AL47" s="278"/>
      <c r="AM47" s="278"/>
    </row>
    <row r="48" spans="1:39" ht="12" customHeight="1">
      <c r="C48" s="278"/>
      <c r="D48" s="278"/>
      <c r="E48" s="278"/>
      <c r="F48" s="278"/>
      <c r="G48" s="278"/>
      <c r="H48" s="278"/>
      <c r="I48" s="278"/>
      <c r="J48" s="278"/>
      <c r="K48" s="278"/>
      <c r="L48" s="278"/>
      <c r="M48" s="278"/>
      <c r="N48" s="278"/>
      <c r="O48" s="278"/>
      <c r="P48" s="278"/>
      <c r="Q48" s="278"/>
      <c r="R48" s="278"/>
      <c r="S48" s="278"/>
      <c r="T48" s="278"/>
      <c r="U48" s="278"/>
      <c r="V48" s="278"/>
      <c r="W48" s="278"/>
      <c r="X48" s="278"/>
      <c r="Y48" s="278"/>
      <c r="Z48" s="278"/>
      <c r="AA48" s="278"/>
      <c r="AB48" s="278"/>
      <c r="AC48" s="278"/>
      <c r="AD48" s="278"/>
      <c r="AE48" s="278"/>
      <c r="AF48" s="303"/>
      <c r="AG48" s="278"/>
      <c r="AH48" s="332" t="s">
        <v>165</v>
      </c>
      <c r="AI48" s="333">
        <f>IF(K8="Dispensa sem justa causa",mascara!T12+AP8+AM11,0)</f>
        <v>0</v>
      </c>
      <c r="AJ48" s="334">
        <f>IF(K8="Dispensa sem justa causa",IF(AI48&gt;=15,AI48/30,0),0)</f>
        <v>0</v>
      </c>
      <c r="AK48" s="335"/>
      <c r="AL48" s="278"/>
      <c r="AM48" s="278"/>
    </row>
    <row r="49" spans="3:39" ht="15" customHeight="1">
      <c r="C49" s="278"/>
      <c r="D49" s="555" t="e">
        <f>IF('seg aut'!F17&gt;0,"Cálculo de seguro desemprego:","")</f>
        <v>#VALUE!</v>
      </c>
      <c r="E49" s="555"/>
      <c r="F49" s="555"/>
      <c r="G49" s="555"/>
      <c r="H49" s="555"/>
      <c r="I49" s="555"/>
      <c r="J49" s="555"/>
      <c r="K49" s="555"/>
      <c r="L49" s="555"/>
      <c r="M49" s="555"/>
      <c r="N49" s="336"/>
      <c r="O49" s="336"/>
      <c r="P49" s="336"/>
      <c r="Q49" s="336"/>
      <c r="R49" s="535" t="str">
        <f>IF(mascara!H6="Dispensa sem justa causa",IF(mascara!J26&gt;0,"Cálculo de FGTS:",""),"")</f>
        <v/>
      </c>
      <c r="S49" s="535"/>
      <c r="T49" s="535"/>
      <c r="U49" s="535"/>
      <c r="V49" s="535"/>
      <c r="W49" s="535"/>
      <c r="X49" s="535"/>
      <c r="Y49" s="535"/>
      <c r="Z49" s="535"/>
      <c r="AA49" s="535"/>
      <c r="AB49" s="535"/>
      <c r="AC49" s="535"/>
      <c r="AD49" s="427"/>
      <c r="AE49" s="427"/>
      <c r="AF49" s="303"/>
      <c r="AG49" s="278"/>
      <c r="AH49" s="332"/>
      <c r="AI49" s="337" t="e">
        <f>Z11-Q10</f>
        <v>#VALUE!</v>
      </c>
      <c r="AJ49" s="334" t="e">
        <f>IF(AI49&gt;=15,AI49/30,0)</f>
        <v>#VALUE!</v>
      </c>
      <c r="AK49" s="335"/>
      <c r="AL49" s="278" t="e">
        <f>IF(DAY(Z10-G10)+1&gt;=15,MONTH(Z10-G10),MONTH(Z10-G10)-1)</f>
        <v>#VALUE!</v>
      </c>
      <c r="AM49" s="278">
        <f>IF(K8="Dispensa sem justa causa",AL50-O24,0)</f>
        <v>0</v>
      </c>
    </row>
    <row r="50" spans="3:39" ht="2.25" customHeight="1">
      <c r="D50" s="270"/>
      <c r="E50" s="270"/>
      <c r="F50" s="270"/>
      <c r="G50" s="270"/>
      <c r="H50" s="270"/>
      <c r="I50" s="270"/>
      <c r="J50" s="270"/>
      <c r="K50" s="270"/>
      <c r="L50" s="270"/>
      <c r="M50" s="270"/>
      <c r="N50" s="270"/>
      <c r="O50" s="270"/>
      <c r="P50" s="270"/>
      <c r="Q50" s="270"/>
      <c r="R50" s="270"/>
      <c r="S50" s="270"/>
      <c r="T50" s="270"/>
      <c r="U50" s="270"/>
      <c r="V50" s="270"/>
      <c r="W50" s="270"/>
      <c r="X50" s="270"/>
      <c r="Y50" s="270"/>
      <c r="Z50" s="270"/>
      <c r="AA50" s="270"/>
      <c r="AB50" s="270"/>
      <c r="AC50" s="270"/>
      <c r="AD50" s="270"/>
      <c r="AE50" s="270"/>
      <c r="AF50" s="278"/>
      <c r="AG50" s="278"/>
      <c r="AH50" s="332"/>
      <c r="AI50" s="337" t="e">
        <f>Z10-Q10+1</f>
        <v>#VALUE!</v>
      </c>
      <c r="AJ50" s="334" t="e">
        <f>IF(AI50&lt;15,1,0)</f>
        <v>#VALUE!</v>
      </c>
      <c r="AK50" s="335"/>
      <c r="AL50" s="278" t="e">
        <f>IF(DAY(Z11-G10)+1&gt;=15,MONTH(Z11-G10),MONTH(Z11-G10)-1)</f>
        <v>#VALUE!</v>
      </c>
      <c r="AM50" s="278"/>
    </row>
    <row r="51" spans="3:39" ht="17.25" customHeight="1" thickBot="1">
      <c r="D51" s="537" t="e">
        <f>IF('seg aut'!F17&gt;0,'seg aut'!D17,"")</f>
        <v>#VALUE!</v>
      </c>
      <c r="E51" s="537"/>
      <c r="F51" s="537"/>
      <c r="G51" s="537"/>
      <c r="H51" s="537"/>
      <c r="I51" s="537"/>
      <c r="J51" s="338" t="e">
        <f>IF('seg aut'!F17&gt;0,'seg aut'!F17,"")</f>
        <v>#VALUE!</v>
      </c>
      <c r="K51" s="270"/>
      <c r="L51" s="270"/>
      <c r="M51" s="270"/>
      <c r="N51" s="270"/>
      <c r="O51" s="270"/>
      <c r="P51" s="270"/>
      <c r="Q51" s="270"/>
      <c r="R51" s="270"/>
      <c r="S51" s="270"/>
      <c r="T51" s="270"/>
      <c r="U51" s="270"/>
      <c r="V51" s="270"/>
      <c r="W51" s="270"/>
      <c r="X51" s="270"/>
      <c r="Y51" s="339" t="str">
        <f>IF(R49="Cálculo de FGTS:","Valor aproximado de saldo FGTS:","")</f>
        <v/>
      </c>
      <c r="Z51" s="534" t="str">
        <f>IF(R49="Cálculo de FGTS:",AJ53*mascara!J26*8/100,"")</f>
        <v/>
      </c>
      <c r="AA51" s="534"/>
      <c r="AB51" s="534"/>
      <c r="AC51" s="534"/>
      <c r="AD51" s="426"/>
      <c r="AE51" s="426"/>
      <c r="AF51" s="278"/>
      <c r="AG51" s="278"/>
      <c r="AH51" s="340" t="s">
        <v>164</v>
      </c>
      <c r="AI51" s="341" t="e">
        <f>IF(AJ51&lt;1.5,AJ51-1,IF(AJ51&lt;2.5,AJ51-2,IF(AJ51&lt;3.5,AJ51-3,IF(AJ51&lt;4.5,AJ51-4,IF(AJ51&lt;5.5,AJ51-5,AJ51-6)))))</f>
        <v>#VALUE!</v>
      </c>
      <c r="AJ51" s="342" t="e">
        <f>IF(AJ50+AJ48=0,0,IF(AJ48&lt;AJ49,AJ50+AJ48,AJ48))</f>
        <v>#VALUE!</v>
      </c>
      <c r="AK51" s="343" t="e">
        <f>IF(AJ51=0,0,AJ51-AI51)</f>
        <v>#VALUE!</v>
      </c>
      <c r="AL51" s="278" t="e">
        <f>AL50-AL49</f>
        <v>#VALUE!</v>
      </c>
      <c r="AM51" s="278"/>
    </row>
    <row r="52" spans="3:39" ht="2.25" customHeight="1">
      <c r="D52" s="339"/>
      <c r="E52" s="339"/>
      <c r="F52" s="339"/>
      <c r="G52" s="339"/>
      <c r="H52" s="339"/>
      <c r="I52" s="339"/>
      <c r="J52" s="270"/>
      <c r="K52" s="270"/>
      <c r="L52" s="270"/>
      <c r="M52" s="270"/>
      <c r="N52" s="270"/>
      <c r="O52" s="270"/>
      <c r="P52" s="270"/>
      <c r="Q52" s="270"/>
      <c r="R52" s="270"/>
      <c r="S52" s="270"/>
      <c r="T52" s="270"/>
      <c r="U52" s="270"/>
      <c r="V52" s="270"/>
      <c r="W52" s="270"/>
      <c r="X52" s="270"/>
      <c r="Y52" s="270"/>
      <c r="Z52" s="270"/>
      <c r="AA52" s="270"/>
      <c r="AB52" s="270"/>
      <c r="AC52" s="270"/>
      <c r="AD52" s="270"/>
      <c r="AE52" s="270"/>
      <c r="AF52" s="278"/>
      <c r="AG52" s="278"/>
      <c r="AH52" s="278"/>
      <c r="AI52" s="278"/>
      <c r="AJ52" s="278"/>
      <c r="AK52" s="278"/>
      <c r="AL52" s="278"/>
      <c r="AM52" s="278"/>
    </row>
    <row r="53" spans="3:39" ht="16.5" customHeight="1">
      <c r="D53" s="537" t="e">
        <f>IF('seg aut'!F19&gt;0,'seg aut'!D19,"")</f>
        <v>#VALUE!</v>
      </c>
      <c r="E53" s="537"/>
      <c r="F53" s="537"/>
      <c r="G53" s="537"/>
      <c r="H53" s="537"/>
      <c r="I53" s="537"/>
      <c r="J53" s="538" t="e">
        <f>IF('seg aut'!F19&gt;0,'seg aut'!F19,"")</f>
        <v>#VALUE!</v>
      </c>
      <c r="K53" s="538"/>
      <c r="L53" s="538"/>
      <c r="M53" s="270"/>
      <c r="N53" s="270"/>
      <c r="O53" s="270"/>
      <c r="P53" s="270"/>
      <c r="Q53" s="270"/>
      <c r="R53" s="270"/>
      <c r="S53" s="270"/>
      <c r="T53" s="270"/>
      <c r="U53" s="270"/>
      <c r="V53" s="270"/>
      <c r="W53" s="270"/>
      <c r="X53" s="270"/>
      <c r="Y53" s="339" t="str">
        <f>IF(R49="Cálculo de FGTS:","Valor aproximado da multa de 40%:","")</f>
        <v/>
      </c>
      <c r="Z53" s="534" t="str">
        <f>IF(R49="Cálculo de FGTS:",Z51*40/100,"")</f>
        <v/>
      </c>
      <c r="AA53" s="534"/>
      <c r="AB53" s="534"/>
      <c r="AC53" s="534"/>
      <c r="AD53" s="426"/>
      <c r="AE53" s="426"/>
      <c r="AF53" s="278"/>
      <c r="AG53" s="278"/>
      <c r="AH53" s="271" t="s">
        <v>177</v>
      </c>
      <c r="AI53" s="271"/>
      <c r="AJ53" s="271" t="e">
        <f>IF(YEAR(AJ7)&gt;YEAR(G10),(YEAR(AJ7)-YEAR(G10))-AN8,0)*12+IF(DAY(Z11-G10)+1&gt;=15,MONTH(Z11-G10),MONTH(Z11-G10)-1)</f>
        <v>#VALUE!</v>
      </c>
      <c r="AK53" s="278"/>
      <c r="AL53" s="278"/>
      <c r="AM53" s="278"/>
    </row>
    <row r="54" spans="3:39" ht="2.25" customHeight="1">
      <c r="D54" s="270"/>
      <c r="E54" s="270"/>
      <c r="F54" s="270"/>
      <c r="G54" s="270"/>
      <c r="H54" s="270"/>
      <c r="I54" s="270"/>
      <c r="J54" s="270"/>
      <c r="K54" s="270"/>
      <c r="L54" s="270"/>
      <c r="M54" s="270"/>
      <c r="N54" s="270"/>
      <c r="O54" s="270"/>
      <c r="P54" s="270"/>
      <c r="Q54" s="270"/>
      <c r="R54" s="270"/>
      <c r="S54" s="270"/>
      <c r="T54" s="270"/>
      <c r="U54" s="270"/>
      <c r="V54" s="270"/>
      <c r="W54" s="270"/>
      <c r="X54" s="270"/>
      <c r="Y54" s="270"/>
      <c r="Z54" s="270"/>
      <c r="AA54" s="270"/>
      <c r="AB54" s="270"/>
      <c r="AC54" s="270"/>
      <c r="AD54" s="270"/>
      <c r="AE54" s="270"/>
      <c r="AG54" s="278"/>
      <c r="AH54" s="278"/>
      <c r="AI54" s="278"/>
      <c r="AJ54" s="278"/>
      <c r="AK54" s="278"/>
      <c r="AL54" s="278"/>
      <c r="AM54" s="278"/>
    </row>
    <row r="55" spans="3:39" ht="16.5" customHeight="1">
      <c r="D55" s="351" t="e">
        <f>IF(J51="","","*observar regras para recebimento de seguro desemprego")</f>
        <v>#VALUE!</v>
      </c>
      <c r="E55" s="270"/>
      <c r="F55" s="270"/>
      <c r="G55" s="270"/>
      <c r="H55" s="270"/>
      <c r="I55" s="270"/>
      <c r="J55" s="270"/>
      <c r="K55" s="270"/>
      <c r="L55" s="270"/>
      <c r="M55" s="270"/>
      <c r="N55" s="270"/>
      <c r="O55" s="270"/>
      <c r="P55" s="270"/>
      <c r="Q55" s="270"/>
      <c r="R55" s="270"/>
      <c r="S55" s="270"/>
      <c r="T55" s="270"/>
      <c r="U55" s="270"/>
      <c r="V55" s="270"/>
      <c r="W55" s="270"/>
      <c r="X55" s="270"/>
      <c r="Y55" s="344" t="str">
        <f>IF(R49="Cálculo de FGTS:","Total aproximado de FGTS + multa:","")</f>
        <v/>
      </c>
      <c r="Z55" s="536" t="str">
        <f>IF(R49="Cálculo de FGTS:",Z51+Z53,"")</f>
        <v/>
      </c>
      <c r="AA55" s="536"/>
      <c r="AB55" s="536"/>
      <c r="AC55" s="536"/>
      <c r="AD55" s="428"/>
      <c r="AE55" s="428"/>
      <c r="AG55" s="278"/>
      <c r="AH55" s="353" t="s">
        <v>184</v>
      </c>
      <c r="AI55" s="354"/>
      <c r="AJ55" s="355"/>
    </row>
    <row r="56" spans="3:39" ht="5.25" customHeight="1">
      <c r="D56" s="270"/>
      <c r="E56" s="270"/>
      <c r="F56" s="270"/>
      <c r="G56" s="270"/>
      <c r="H56" s="270"/>
      <c r="I56" s="270"/>
      <c r="J56" s="270"/>
      <c r="K56" s="270"/>
      <c r="L56" s="270"/>
      <c r="M56" s="270"/>
      <c r="N56" s="270"/>
      <c r="O56" s="270"/>
      <c r="P56" s="270"/>
      <c r="Q56" s="270"/>
      <c r="R56" s="270"/>
      <c r="S56" s="270"/>
      <c r="T56" s="270"/>
      <c r="U56" s="270"/>
      <c r="V56" s="270"/>
      <c r="W56" s="270"/>
      <c r="X56" s="270"/>
      <c r="Y56" s="344"/>
      <c r="Z56" s="345"/>
      <c r="AA56" s="345"/>
      <c r="AB56" s="345"/>
      <c r="AC56" s="345"/>
      <c r="AD56" s="428"/>
      <c r="AE56" s="428"/>
      <c r="AH56" s="356" t="e">
        <f>IF(config!P8="Sim",(calculo!K36+calculo!K20)*config!P6,K20*config!P6)</f>
        <v>#VALUE!</v>
      </c>
      <c r="AI56" s="357" t="s">
        <v>185</v>
      </c>
      <c r="AJ56" s="358"/>
    </row>
    <row r="57" spans="3:39" ht="4.5" customHeight="1">
      <c r="D57" s="544" t="str">
        <f>config!E110</f>
        <v>Os cálculos contidos na planilha são baseados em dados referenciados, porém ainda sim podem estar incorretos. Sendo assim, os mesmos devem ser utilizados apenas como referência.</v>
      </c>
      <c r="E57" s="544"/>
      <c r="F57" s="544"/>
      <c r="G57" s="544"/>
      <c r="H57" s="544"/>
      <c r="I57" s="544"/>
      <c r="J57" s="544"/>
      <c r="K57" s="544"/>
      <c r="L57" s="544"/>
      <c r="M57" s="544"/>
      <c r="N57" s="544"/>
      <c r="O57" s="544"/>
      <c r="P57" s="544"/>
      <c r="Q57" s="544"/>
      <c r="R57" s="544"/>
      <c r="S57" s="544"/>
      <c r="T57" s="544"/>
      <c r="U57" s="544"/>
      <c r="V57" s="544"/>
      <c r="W57" s="544"/>
      <c r="X57" s="544"/>
      <c r="Y57" s="544"/>
      <c r="Z57" s="544"/>
      <c r="AA57" s="544"/>
      <c r="AB57" s="544"/>
      <c r="AC57" s="544"/>
      <c r="AD57" s="429"/>
      <c r="AE57" s="429"/>
      <c r="AH57" s="356">
        <f>IF(config!P10&gt;0,config!P10,0)</f>
        <v>0</v>
      </c>
      <c r="AI57" s="357" t="s">
        <v>186</v>
      </c>
      <c r="AJ57" s="358"/>
    </row>
    <row r="58" spans="3:39" ht="16.5" customHeight="1">
      <c r="D58" s="544"/>
      <c r="E58" s="544"/>
      <c r="F58" s="544"/>
      <c r="G58" s="544"/>
      <c r="H58" s="544"/>
      <c r="I58" s="544"/>
      <c r="J58" s="544"/>
      <c r="K58" s="544"/>
      <c r="L58" s="544"/>
      <c r="M58" s="544"/>
      <c r="N58" s="544"/>
      <c r="O58" s="544"/>
      <c r="P58" s="544"/>
      <c r="Q58" s="544"/>
      <c r="R58" s="544"/>
      <c r="S58" s="544"/>
      <c r="T58" s="544"/>
      <c r="U58" s="544"/>
      <c r="V58" s="544"/>
      <c r="W58" s="544"/>
      <c r="X58" s="544"/>
      <c r="Y58" s="544"/>
      <c r="Z58" s="544"/>
      <c r="AA58" s="544"/>
      <c r="AB58" s="544"/>
      <c r="AC58" s="544"/>
      <c r="AD58" s="429"/>
      <c r="AE58" s="429"/>
      <c r="AH58" s="359"/>
      <c r="AI58" s="347"/>
      <c r="AJ58" s="360"/>
    </row>
    <row r="59" spans="3:39" ht="16.5" customHeight="1">
      <c r="D59" s="544"/>
      <c r="E59" s="544"/>
      <c r="F59" s="544"/>
      <c r="G59" s="544"/>
      <c r="H59" s="544"/>
      <c r="I59" s="544"/>
      <c r="J59" s="544"/>
      <c r="K59" s="544"/>
      <c r="L59" s="544"/>
      <c r="M59" s="544"/>
      <c r="N59" s="544"/>
      <c r="O59" s="544"/>
      <c r="P59" s="544"/>
      <c r="Q59" s="544"/>
      <c r="R59" s="544"/>
      <c r="S59" s="544"/>
      <c r="T59" s="544"/>
      <c r="U59" s="544"/>
      <c r="V59" s="544"/>
      <c r="W59" s="544"/>
      <c r="X59" s="544"/>
      <c r="Y59" s="544"/>
      <c r="Z59" s="544"/>
      <c r="AA59" s="544"/>
      <c r="AB59" s="544"/>
      <c r="AC59" s="544"/>
      <c r="AD59" s="429"/>
      <c r="AE59" s="429"/>
    </row>
    <row r="60" spans="3:39" ht="4.5" customHeight="1">
      <c r="C60" s="346"/>
      <c r="D60" s="347"/>
      <c r="E60" s="347"/>
      <c r="F60" s="347"/>
      <c r="G60" s="347"/>
      <c r="H60" s="347"/>
      <c r="I60" s="347"/>
      <c r="J60" s="347"/>
      <c r="K60" s="347"/>
      <c r="L60" s="347"/>
      <c r="M60" s="347"/>
      <c r="N60" s="347"/>
      <c r="O60" s="347"/>
      <c r="P60" s="347"/>
      <c r="Q60" s="347"/>
      <c r="R60" s="347"/>
      <c r="S60" s="347"/>
      <c r="T60" s="347"/>
      <c r="U60" s="347"/>
      <c r="V60" s="347"/>
      <c r="W60" s="347"/>
      <c r="X60" s="347"/>
      <c r="Y60" s="347"/>
      <c r="Z60" s="347"/>
      <c r="AA60" s="347"/>
      <c r="AB60" s="347"/>
      <c r="AC60" s="347"/>
      <c r="AD60" s="357"/>
      <c r="AE60" s="357"/>
    </row>
    <row r="61" spans="3:39" ht="16.5" customHeight="1">
      <c r="C61" s="276" t="str">
        <f>config!P104</f>
        <v>www.fecomerciarios.org.br</v>
      </c>
      <c r="AC61" s="348" t="str">
        <f>config!G105</f>
        <v>fecomerciarios@fecomerciarios.org.br</v>
      </c>
      <c r="AD61" s="421"/>
      <c r="AE61" s="421"/>
    </row>
    <row r="62" spans="3:39" ht="26.25" customHeight="1"/>
    <row r="63" spans="3:39" ht="15.75" customHeight="1"/>
    <row r="64" spans="3:39" ht="15.75" hidden="1" customHeight="1"/>
  </sheetData>
  <sheetProtection password="C1FF" sheet="1" objects="1" scenarios="1" selectLockedCells="1"/>
  <mergeCells count="55">
    <mergeCell ref="H20:I20"/>
    <mergeCell ref="D42:J42"/>
    <mergeCell ref="Q10:T10"/>
    <mergeCell ref="K24:N24"/>
    <mergeCell ref="K26:N26"/>
    <mergeCell ref="K20:N20"/>
    <mergeCell ref="K22:N22"/>
    <mergeCell ref="K28:N28"/>
    <mergeCell ref="D46:R47"/>
    <mergeCell ref="Z46:AC46"/>
    <mergeCell ref="K30:N30"/>
    <mergeCell ref="G22:H22"/>
    <mergeCell ref="K34:N34"/>
    <mergeCell ref="T44:X44"/>
    <mergeCell ref="Z22:AC22"/>
    <mergeCell ref="K32:N32"/>
    <mergeCell ref="Z32:AC32"/>
    <mergeCell ref="K38:N38"/>
    <mergeCell ref="D5:AC5"/>
    <mergeCell ref="G10:K10"/>
    <mergeCell ref="Z10:AC10"/>
    <mergeCell ref="H12:M12"/>
    <mergeCell ref="K8:R8"/>
    <mergeCell ref="G6:AC6"/>
    <mergeCell ref="H7:AC7"/>
    <mergeCell ref="Z11:AC11"/>
    <mergeCell ref="D57:AC59"/>
    <mergeCell ref="K14:M14"/>
    <mergeCell ref="P15:Y15"/>
    <mergeCell ref="T18:AC18"/>
    <mergeCell ref="Z26:AC26"/>
    <mergeCell ref="Z28:AC28"/>
    <mergeCell ref="Z20:AC20"/>
    <mergeCell ref="Z24:AC24"/>
    <mergeCell ref="K36:N36"/>
    <mergeCell ref="K40:N40"/>
    <mergeCell ref="Z30:AC30"/>
    <mergeCell ref="K18:N18"/>
    <mergeCell ref="J44:N44"/>
    <mergeCell ref="Y44:AC44"/>
    <mergeCell ref="K42:N42"/>
    <mergeCell ref="D49:M49"/>
    <mergeCell ref="AH42:AH43"/>
    <mergeCell ref="AI42:AI43"/>
    <mergeCell ref="Z14:AA14"/>
    <mergeCell ref="Z15:AA15"/>
    <mergeCell ref="O14:Y14"/>
    <mergeCell ref="Z36:AC36"/>
    <mergeCell ref="Z51:AC51"/>
    <mergeCell ref="Z53:AC53"/>
    <mergeCell ref="R49:AC49"/>
    <mergeCell ref="Z55:AC55"/>
    <mergeCell ref="D51:I51"/>
    <mergeCell ref="D53:I53"/>
    <mergeCell ref="J53:L53"/>
  </mergeCells>
  <phoneticPr fontId="9" type="noConversion"/>
  <conditionalFormatting sqref="Z35:AE36 AD34:AE34 Z20:AC33 AE20:AE33 AD21 AD23 AD25 AD27 AD29 AD31:AD33 K18:N43">
    <cfRule type="notContainsBlanks" dxfId="25" priority="53">
      <formula>LEN(TRIM(K18))&gt;0</formula>
    </cfRule>
  </conditionalFormatting>
  <conditionalFormatting sqref="G22:H22 O24">
    <cfRule type="cellIs" dxfId="24" priority="43" stopIfTrue="1" operator="equal">
      <formula>0</formula>
    </cfRule>
  </conditionalFormatting>
  <conditionalFormatting sqref="Z14:AA15 K18:N18 K34:N34 K36:N36 K38:N38">
    <cfRule type="cellIs" dxfId="23" priority="39" operator="greaterThan">
      <formula>0</formula>
    </cfRule>
  </conditionalFormatting>
  <conditionalFormatting sqref="AE14:AE43 AD14:AD19 AD21 AD23 AD25 AD27 AD29 AD31:AD43 D14:AC43">
    <cfRule type="cellIs" dxfId="22" priority="30" operator="lessThanOrEqual">
      <formula>0</formula>
    </cfRule>
  </conditionalFormatting>
  <conditionalFormatting sqref="K38:N38">
    <cfRule type="cellIs" dxfId="21" priority="1" operator="equal">
      <formula>0</formula>
    </cfRule>
    <cfRule type="notContainsBlanks" dxfId="20" priority="7">
      <formula>LEN(TRIM(K38))&gt;0</formula>
    </cfRule>
  </conditionalFormatting>
  <printOptions horizontalCentered="1"/>
  <pageMargins left="0.15748031496062992" right="0.15748031496062992" top="0.43307086614173229" bottom="0.19685039370078741" header="0.15748031496062992" footer="0.15748031496062992"/>
  <pageSetup paperSize="9" orientation="portrait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>
    <pageSetUpPr fitToPage="1"/>
  </sheetPr>
  <dimension ref="A1:IU63"/>
  <sheetViews>
    <sheetView showGridLines="0" showRowColHeaders="0" workbookViewId="0">
      <selection activeCell="B32" sqref="B32:H32"/>
    </sheetView>
  </sheetViews>
  <sheetFormatPr defaultColWidth="0" defaultRowHeight="15" customHeight="1" zeroHeight="1"/>
  <cols>
    <col min="1" max="1" width="9.140625" style="155" customWidth="1"/>
    <col min="2" max="2" width="14.140625" customWidth="1"/>
    <col min="3" max="3" width="14.140625" style="155" customWidth="1"/>
    <col min="4" max="5" width="9.140625" customWidth="1"/>
    <col min="6" max="6" width="18" customWidth="1"/>
    <col min="7" max="7" width="11" customWidth="1"/>
    <col min="8" max="8" width="20.28515625" customWidth="1"/>
    <col min="9" max="9" width="11.5703125" style="155" customWidth="1"/>
    <col min="10" max="10" width="19.140625" hidden="1" customWidth="1"/>
    <col min="11" max="11" width="9.140625" hidden="1" customWidth="1"/>
    <col min="12" max="12" width="18.5703125" hidden="1" customWidth="1"/>
    <col min="13" max="255" width="9.140625" hidden="1" customWidth="1"/>
    <col min="256" max="16384" width="3.5703125" hidden="1"/>
  </cols>
  <sheetData>
    <row r="1" spans="1:16" ht="26.25">
      <c r="A1" s="42"/>
      <c r="B1" s="168" t="str">
        <f>config!I101</f>
        <v>FECOMERCIÁRIOS</v>
      </c>
      <c r="D1" s="155"/>
      <c r="E1" s="155"/>
      <c r="F1" s="155"/>
      <c r="G1" s="155"/>
      <c r="H1" s="155"/>
      <c r="J1" s="4" t="s">
        <v>168</v>
      </c>
      <c r="N1" s="225">
        <f>IF(mascara!H18="",1,VLOOKUP(mascara!H18,O1:P4,2,FALSE))</f>
        <v>1</v>
      </c>
      <c r="O1" s="2" t="s">
        <v>225</v>
      </c>
      <c r="P1" s="225">
        <v>1</v>
      </c>
    </row>
    <row r="2" spans="1:16" ht="18.75">
      <c r="A2" s="42"/>
      <c r="B2" s="171" t="str">
        <f>config!I102</f>
        <v>Federação dos Empregados no Comércio do Estado de São Paulo</v>
      </c>
      <c r="C2" s="171"/>
      <c r="D2" s="171"/>
      <c r="E2" s="171"/>
      <c r="F2" s="171"/>
      <c r="G2" s="171"/>
      <c r="H2" s="171"/>
      <c r="O2" s="2" t="s">
        <v>226</v>
      </c>
      <c r="P2" s="225">
        <v>2</v>
      </c>
    </row>
    <row r="3" spans="1:16" ht="18.75">
      <c r="B3" s="155"/>
      <c r="D3" s="155"/>
      <c r="E3" s="155"/>
      <c r="F3" s="155"/>
      <c r="G3" s="155"/>
      <c r="H3" s="155"/>
      <c r="O3" s="2" t="s">
        <v>227</v>
      </c>
      <c r="P3" s="225">
        <v>3</v>
      </c>
    </row>
    <row r="4" spans="1:16" ht="18.75">
      <c r="B4" s="155"/>
      <c r="D4" s="155"/>
      <c r="E4" s="155"/>
      <c r="F4" s="155"/>
      <c r="G4" s="155"/>
      <c r="H4" s="155"/>
      <c r="K4" s="486" t="s">
        <v>230</v>
      </c>
      <c r="L4" s="487">
        <f>mascara!H20</f>
        <v>0</v>
      </c>
      <c r="O4" s="2" t="s">
        <v>228</v>
      </c>
      <c r="P4" s="225">
        <v>3</v>
      </c>
    </row>
    <row r="5" spans="1:16" ht="23.25">
      <c r="B5" s="575" t="s">
        <v>58</v>
      </c>
      <c r="C5" s="575"/>
      <c r="D5" s="575"/>
      <c r="E5" s="575"/>
      <c r="F5" s="575"/>
      <c r="G5" s="575"/>
      <c r="H5" s="575"/>
      <c r="K5" s="43" t="s">
        <v>59</v>
      </c>
      <c r="L5" s="44" t="str">
        <f>F11</f>
        <v/>
      </c>
    </row>
    <row r="6" spans="1:16" ht="19.5" customHeight="1">
      <c r="B6" s="582" t="str">
        <f>IF(mascara!H6="Pedido de demissão","Pedido de demissão não dá direito a seguro desemprego","")</f>
        <v/>
      </c>
      <c r="C6" s="582"/>
      <c r="D6" s="582"/>
      <c r="E6" s="582"/>
      <c r="F6" s="582"/>
      <c r="G6" s="582"/>
      <c r="H6" s="582"/>
      <c r="K6" s="43" t="s">
        <v>60</v>
      </c>
      <c r="L6" s="488" t="e">
        <f>DATEDIF(F9,F11,"M")+L4</f>
        <v>#VALUE!</v>
      </c>
      <c r="M6" t="e">
        <f>(YEAR(F11)-YEAR(F9))*12+MONTH(F11)-MONTH(F9)</f>
        <v>#VALUE!</v>
      </c>
      <c r="N6" s="77" t="e">
        <f>IF(DAY(F11)&gt;DAY(F9),DAY(F11)-DAY(F9)+1,DAY(F9)-DAY(F11)+1)</f>
        <v>#VALUE!</v>
      </c>
    </row>
    <row r="7" spans="1:16">
      <c r="B7" s="155"/>
      <c r="C7" s="185"/>
      <c r="D7" s="185"/>
      <c r="E7" s="45" t="s">
        <v>61</v>
      </c>
      <c r="F7" s="188">
        <f>mascara!H14</f>
        <v>0</v>
      </c>
      <c r="G7" s="46"/>
      <c r="H7" s="185"/>
      <c r="K7" s="43" t="s">
        <v>122</v>
      </c>
      <c r="L7" s="130">
        <f>config!K95</f>
        <v>937</v>
      </c>
      <c r="N7" s="77"/>
    </row>
    <row r="8" spans="1:16" ht="7.5" customHeight="1">
      <c r="B8" s="155"/>
      <c r="C8" s="185"/>
      <c r="D8" s="185"/>
      <c r="E8" s="185"/>
      <c r="F8" s="47"/>
      <c r="G8" s="185"/>
      <c r="H8" s="185"/>
    </row>
    <row r="9" spans="1:16">
      <c r="B9" s="155"/>
      <c r="C9" s="185"/>
      <c r="D9" s="185"/>
      <c r="E9" s="45" t="s">
        <v>62</v>
      </c>
      <c r="F9" s="189">
        <f>mascara!H8</f>
        <v>0</v>
      </c>
      <c r="G9" s="46"/>
      <c r="H9" s="185"/>
      <c r="J9" t="s">
        <v>63</v>
      </c>
      <c r="L9" t="s">
        <v>64</v>
      </c>
      <c r="O9" t="s">
        <v>65</v>
      </c>
    </row>
    <row r="10" spans="1:16" ht="7.5" customHeight="1">
      <c r="B10" s="155"/>
      <c r="C10" s="576"/>
      <c r="D10" s="576"/>
      <c r="E10" s="576"/>
      <c r="F10" s="576"/>
      <c r="G10" s="576"/>
      <c r="H10" s="576"/>
      <c r="J10" t="s">
        <v>12</v>
      </c>
      <c r="K10">
        <f>config!F82</f>
        <v>1450.23</v>
      </c>
      <c r="L10">
        <f>config!T82</f>
        <v>0.8</v>
      </c>
      <c r="O10">
        <f>IF(F7&lt;=K10,F7*L10,0)</f>
        <v>0</v>
      </c>
    </row>
    <row r="11" spans="1:16">
      <c r="B11" s="155"/>
      <c r="C11" s="185"/>
      <c r="D11" s="185"/>
      <c r="E11" s="45" t="s">
        <v>166</v>
      </c>
      <c r="F11" s="189" t="str">
        <f>calculo!Z11</f>
        <v/>
      </c>
      <c r="G11" s="46"/>
      <c r="H11" s="185"/>
      <c r="J11" t="s">
        <v>12</v>
      </c>
      <c r="K11">
        <f>config!J83</f>
        <v>2417.29</v>
      </c>
      <c r="L11">
        <f>config!Q83</f>
        <v>1450.23</v>
      </c>
      <c r="M11">
        <f>config!X83</f>
        <v>0.5</v>
      </c>
      <c r="N11">
        <f>config!AE83</f>
        <v>1160.18</v>
      </c>
      <c r="O11">
        <f>IF(F7&gt;0,IF(O10=0,IF(F7&lt;=K11,(F7-L11)*M11+(N11),0),0),0)</f>
        <v>0</v>
      </c>
    </row>
    <row r="12" spans="1:16" ht="7.5" customHeight="1">
      <c r="B12" s="155"/>
      <c r="C12" s="576"/>
      <c r="D12" s="576"/>
      <c r="E12" s="576"/>
      <c r="F12" s="576"/>
      <c r="G12" s="576"/>
      <c r="H12" s="576"/>
      <c r="J12" t="s">
        <v>23</v>
      </c>
      <c r="K12">
        <f>config!G84</f>
        <v>2417.29</v>
      </c>
      <c r="L12">
        <f>config!S84</f>
        <v>1643.72</v>
      </c>
      <c r="O12">
        <f>IF(F7&gt;0,IF(O11+O10=0,L12,0),0)</f>
        <v>0</v>
      </c>
    </row>
    <row r="13" spans="1:16">
      <c r="B13" s="155"/>
      <c r="C13" s="185"/>
      <c r="D13" s="185"/>
      <c r="E13" s="45"/>
      <c r="F13" s="233"/>
      <c r="G13" s="46"/>
      <c r="H13" s="185"/>
      <c r="N13" s="43" t="s">
        <v>66</v>
      </c>
      <c r="O13" t="e">
        <f>IF(N1=1,IF(L6&gt;=12,SUM(O10:O12),0),IF(N1=2,IF(L6&gt;=9,SUM(O10:O12),0),IF(N1=3,IF(L6&gt;5,SUM(O10:O12),0))))</f>
        <v>#VALUE!</v>
      </c>
    </row>
    <row r="14" spans="1:16">
      <c r="B14" s="155"/>
      <c r="D14" s="155"/>
      <c r="E14" s="155"/>
      <c r="F14" s="155"/>
      <c r="G14" s="155"/>
      <c r="H14" s="155"/>
    </row>
    <row r="15" spans="1:16" ht="14.25" customHeight="1">
      <c r="B15" s="155"/>
      <c r="D15" s="577" t="e">
        <f>IF(L6&lt;6,IF(L6&gt;0,"Somente tem direito ao benefício quem trabalhou mais de 6 meses.",""),"")</f>
        <v>#VALUE!</v>
      </c>
      <c r="E15" s="577"/>
      <c r="F15" s="577"/>
      <c r="G15" s="577"/>
      <c r="H15" s="577"/>
      <c r="J15" s="48" t="s">
        <v>67</v>
      </c>
      <c r="L15" t="s">
        <v>68</v>
      </c>
    </row>
    <row r="16" spans="1:16" ht="9.75" customHeight="1" thickBot="1">
      <c r="B16" s="155"/>
      <c r="D16" s="155"/>
      <c r="E16" s="155"/>
      <c r="F16" s="155"/>
      <c r="G16" s="155"/>
      <c r="H16" s="155"/>
      <c r="K16">
        <v>0</v>
      </c>
      <c r="L16">
        <v>0</v>
      </c>
    </row>
    <row r="17" spans="2:12">
      <c r="B17" s="155"/>
      <c r="D17" s="578" t="e">
        <f>IF(O13&gt;0,"Parcelas a receber:","")</f>
        <v>#VALUE!</v>
      </c>
      <c r="E17" s="579"/>
      <c r="F17" s="49" t="e">
        <f>IF(B6="",IF(O13&gt;0,VLOOKUP(L6,K16:L40,2),0),0)</f>
        <v>#VALUE!</v>
      </c>
      <c r="G17" s="155"/>
      <c r="H17" s="155"/>
      <c r="K17">
        <v>1</v>
      </c>
      <c r="L17">
        <v>0</v>
      </c>
    </row>
    <row r="18" spans="2:12" ht="8.25" customHeight="1">
      <c r="B18" s="155"/>
      <c r="D18" s="50"/>
      <c r="E18" s="51"/>
      <c r="F18" s="52"/>
      <c r="G18" s="155"/>
      <c r="H18" s="155"/>
      <c r="K18">
        <v>2</v>
      </c>
      <c r="L18">
        <v>0</v>
      </c>
    </row>
    <row r="19" spans="2:12" ht="15.75" thickBot="1">
      <c r="B19" s="155"/>
      <c r="D19" s="580" t="e">
        <f>IF(O13&gt;0,"Valor da parcela:","")</f>
        <v>#VALUE!</v>
      </c>
      <c r="E19" s="581"/>
      <c r="F19" s="53" t="e">
        <f>IF(L6&gt;5,IF(F17&gt;0,IF(O13&gt;=L7,O13,L7),0),0)</f>
        <v>#VALUE!</v>
      </c>
      <c r="G19" s="155"/>
      <c r="H19" s="155"/>
      <c r="K19">
        <v>3</v>
      </c>
      <c r="L19">
        <v>0</v>
      </c>
    </row>
    <row r="20" spans="2:12">
      <c r="B20" s="155"/>
      <c r="D20" s="155"/>
      <c r="E20" s="155"/>
      <c r="F20" s="155"/>
      <c r="G20" s="155"/>
      <c r="H20" s="155"/>
      <c r="K20">
        <v>4</v>
      </c>
      <c r="L20">
        <v>0</v>
      </c>
    </row>
    <row r="21" spans="2:12" ht="30" customHeight="1">
      <c r="B21" s="583" t="str">
        <f>IF(mascara!E32="","",mascara!E32)</f>
        <v/>
      </c>
      <c r="C21" s="583"/>
      <c r="D21" s="583"/>
      <c r="E21" s="583"/>
      <c r="F21" s="583"/>
      <c r="G21" s="583"/>
      <c r="H21" s="583"/>
      <c r="K21">
        <f>K20+1</f>
        <v>5</v>
      </c>
      <c r="L21">
        <v>0</v>
      </c>
    </row>
    <row r="22" spans="2:12" ht="9.75" customHeight="1">
      <c r="B22" s="155"/>
      <c r="D22" s="155"/>
      <c r="E22" s="155"/>
      <c r="F22" s="155"/>
      <c r="G22" s="155"/>
      <c r="H22" s="155"/>
      <c r="K22">
        <f t="shared" ref="K22:K40" si="0">K21+1</f>
        <v>6</v>
      </c>
      <c r="L22">
        <v>3</v>
      </c>
    </row>
    <row r="23" spans="2:12" ht="9" customHeight="1">
      <c r="B23" s="155"/>
      <c r="D23" s="155"/>
      <c r="E23" s="155"/>
      <c r="F23" s="155"/>
      <c r="G23" s="155"/>
      <c r="H23" s="155"/>
      <c r="K23">
        <f>K22+1</f>
        <v>7</v>
      </c>
      <c r="L23">
        <v>3</v>
      </c>
    </row>
    <row r="24" spans="2:12">
      <c r="B24" s="54"/>
      <c r="C24" s="54"/>
      <c r="D24" s="155"/>
      <c r="E24" s="155"/>
      <c r="F24" s="155"/>
      <c r="G24" s="155"/>
      <c r="H24" s="155"/>
      <c r="K24">
        <f t="shared" si="0"/>
        <v>8</v>
      </c>
      <c r="L24">
        <v>3</v>
      </c>
    </row>
    <row r="25" spans="2:12" ht="16.5" customHeight="1">
      <c r="B25" s="584"/>
      <c r="C25" s="584"/>
      <c r="D25" s="584"/>
      <c r="E25" s="584"/>
      <c r="F25" s="584"/>
      <c r="G25" s="584"/>
      <c r="H25" s="584"/>
      <c r="K25">
        <f t="shared" si="0"/>
        <v>9</v>
      </c>
      <c r="L25">
        <v>3</v>
      </c>
    </row>
    <row r="26" spans="2:12" ht="16.5" customHeight="1">
      <c r="B26" s="584"/>
      <c r="C26" s="584"/>
      <c r="D26" s="584"/>
      <c r="E26" s="584"/>
      <c r="F26" s="584"/>
      <c r="G26" s="584"/>
      <c r="H26" s="584"/>
      <c r="K26">
        <f t="shared" si="0"/>
        <v>10</v>
      </c>
      <c r="L26">
        <v>3</v>
      </c>
    </row>
    <row r="27" spans="2:12" ht="16.5" customHeight="1">
      <c r="B27" s="584"/>
      <c r="C27" s="584"/>
      <c r="D27" s="584"/>
      <c r="E27" s="584"/>
      <c r="F27" s="584"/>
      <c r="G27" s="584"/>
      <c r="H27" s="584"/>
      <c r="K27">
        <f t="shared" si="0"/>
        <v>11</v>
      </c>
      <c r="L27">
        <v>3</v>
      </c>
    </row>
    <row r="28" spans="2:12">
      <c r="B28" s="584"/>
      <c r="C28" s="584"/>
      <c r="D28" s="584"/>
      <c r="E28" s="584"/>
      <c r="F28" s="584"/>
      <c r="G28" s="584"/>
      <c r="H28" s="584"/>
      <c r="K28">
        <f t="shared" si="0"/>
        <v>12</v>
      </c>
      <c r="L28">
        <v>4</v>
      </c>
    </row>
    <row r="29" spans="2:12">
      <c r="B29" s="584"/>
      <c r="C29" s="584"/>
      <c r="D29" s="584"/>
      <c r="E29" s="584"/>
      <c r="F29" s="584"/>
      <c r="G29" s="584"/>
      <c r="H29" s="584"/>
      <c r="K29">
        <f t="shared" si="0"/>
        <v>13</v>
      </c>
      <c r="L29">
        <v>4</v>
      </c>
    </row>
    <row r="30" spans="2:12">
      <c r="B30" s="584"/>
      <c r="C30" s="584"/>
      <c r="D30" s="584"/>
      <c r="E30" s="584"/>
      <c r="F30" s="584"/>
      <c r="G30" s="584"/>
      <c r="H30" s="584"/>
      <c r="K30">
        <f t="shared" si="0"/>
        <v>14</v>
      </c>
      <c r="L30">
        <v>4</v>
      </c>
    </row>
    <row r="31" spans="2:12" ht="9.75" customHeight="1">
      <c r="B31" s="155"/>
      <c r="D31" s="155"/>
      <c r="E31" s="155"/>
      <c r="F31" s="155"/>
      <c r="G31" s="155"/>
      <c r="H31" s="155"/>
      <c r="K31">
        <f t="shared" si="0"/>
        <v>15</v>
      </c>
      <c r="L31">
        <v>4</v>
      </c>
    </row>
    <row r="32" spans="2:12" ht="54" customHeight="1">
      <c r="B32" s="585"/>
      <c r="C32" s="585"/>
      <c r="D32" s="585"/>
      <c r="E32" s="585"/>
      <c r="F32" s="585"/>
      <c r="G32" s="585"/>
      <c r="H32" s="585"/>
      <c r="K32">
        <f t="shared" si="0"/>
        <v>16</v>
      </c>
      <c r="L32">
        <v>4</v>
      </c>
    </row>
    <row r="33" spans="2:12" ht="10.5" customHeight="1">
      <c r="B33" s="585"/>
      <c r="C33" s="585"/>
      <c r="D33" s="585"/>
      <c r="E33" s="585"/>
      <c r="F33" s="585"/>
      <c r="G33" s="585"/>
      <c r="H33" s="585"/>
      <c r="K33">
        <f t="shared" si="0"/>
        <v>17</v>
      </c>
      <c r="L33">
        <v>4</v>
      </c>
    </row>
    <row r="34" spans="2:12">
      <c r="B34" s="586" t="s">
        <v>69</v>
      </c>
      <c r="C34" s="586"/>
      <c r="D34" s="586"/>
      <c r="E34" s="586"/>
      <c r="F34" s="586"/>
      <c r="G34" s="586"/>
      <c r="H34" s="586"/>
      <c r="K34">
        <f t="shared" si="0"/>
        <v>18</v>
      </c>
      <c r="L34">
        <v>4</v>
      </c>
    </row>
    <row r="35" spans="2:12">
      <c r="B35" s="585" t="s">
        <v>70</v>
      </c>
      <c r="C35" s="585"/>
      <c r="D35" s="585"/>
      <c r="E35" s="585"/>
      <c r="F35" s="585"/>
      <c r="G35" s="585"/>
      <c r="H35" s="585"/>
      <c r="K35">
        <f t="shared" si="0"/>
        <v>19</v>
      </c>
      <c r="L35">
        <v>4</v>
      </c>
    </row>
    <row r="36" spans="2:12" ht="9.75" customHeight="1">
      <c r="B36" s="585"/>
      <c r="C36" s="585"/>
      <c r="D36" s="585"/>
      <c r="E36" s="585"/>
      <c r="F36" s="585"/>
      <c r="G36" s="585"/>
      <c r="H36" s="585"/>
      <c r="K36">
        <f t="shared" si="0"/>
        <v>20</v>
      </c>
      <c r="L36">
        <v>4</v>
      </c>
    </row>
    <row r="37" spans="2:12">
      <c r="B37" s="587" t="s">
        <v>71</v>
      </c>
      <c r="C37" s="587"/>
      <c r="D37" s="587"/>
      <c r="E37" s="587"/>
      <c r="F37" s="587"/>
      <c r="G37" s="587"/>
      <c r="H37" s="587"/>
      <c r="K37">
        <f t="shared" si="0"/>
        <v>21</v>
      </c>
      <c r="L37">
        <v>4</v>
      </c>
    </row>
    <row r="38" spans="2:12" ht="9.75" customHeight="1">
      <c r="B38" s="585"/>
      <c r="C38" s="585"/>
      <c r="D38" s="585"/>
      <c r="E38" s="585"/>
      <c r="F38" s="585"/>
      <c r="G38" s="585"/>
      <c r="H38" s="585"/>
      <c r="K38">
        <f t="shared" si="0"/>
        <v>22</v>
      </c>
      <c r="L38">
        <v>4</v>
      </c>
    </row>
    <row r="39" spans="2:12">
      <c r="B39" s="588" t="s">
        <v>72</v>
      </c>
      <c r="C39" s="588"/>
      <c r="D39" s="588"/>
      <c r="E39" s="588"/>
      <c r="F39" s="588"/>
      <c r="G39" s="588"/>
      <c r="H39" s="588"/>
      <c r="K39">
        <f t="shared" si="0"/>
        <v>23</v>
      </c>
      <c r="L39">
        <v>4</v>
      </c>
    </row>
    <row r="40" spans="2:12" ht="9.75" customHeight="1">
      <c r="B40" s="585"/>
      <c r="C40" s="585"/>
      <c r="D40" s="585"/>
      <c r="E40" s="585"/>
      <c r="F40" s="585"/>
      <c r="G40" s="585"/>
      <c r="H40" s="585"/>
      <c r="K40">
        <f t="shared" si="0"/>
        <v>24</v>
      </c>
      <c r="L40">
        <v>5</v>
      </c>
    </row>
    <row r="41" spans="2:12">
      <c r="B41" s="588" t="s">
        <v>73</v>
      </c>
      <c r="C41" s="588"/>
      <c r="D41" s="588"/>
      <c r="E41" s="588"/>
      <c r="F41" s="588"/>
      <c r="G41" s="588"/>
      <c r="H41" s="588"/>
    </row>
    <row r="42" spans="2:12" ht="9.75" customHeight="1">
      <c r="B42" s="585"/>
      <c r="C42" s="585"/>
      <c r="D42" s="585"/>
      <c r="E42" s="585"/>
      <c r="F42" s="585"/>
      <c r="G42" s="585"/>
      <c r="H42" s="585"/>
      <c r="J42" s="55" t="s">
        <v>74</v>
      </c>
    </row>
    <row r="43" spans="2:12" ht="42" customHeight="1">
      <c r="B43" s="588" t="s">
        <v>75</v>
      </c>
      <c r="C43" s="588"/>
      <c r="D43" s="588"/>
      <c r="E43" s="588"/>
      <c r="F43" s="588"/>
      <c r="G43" s="588"/>
      <c r="H43" s="588"/>
    </row>
    <row r="44" spans="2:12" ht="9.75" customHeight="1">
      <c r="B44" s="585"/>
      <c r="C44" s="585"/>
      <c r="D44" s="585"/>
      <c r="E44" s="585"/>
      <c r="F44" s="585"/>
      <c r="G44" s="585"/>
      <c r="H44" s="585"/>
      <c r="L44" t="s">
        <v>30</v>
      </c>
    </row>
    <row r="45" spans="2:12">
      <c r="B45" s="588" t="s">
        <v>76</v>
      </c>
      <c r="C45" s="588"/>
      <c r="D45" s="588"/>
      <c r="E45" s="588"/>
      <c r="F45" s="588"/>
      <c r="G45" s="588"/>
      <c r="H45" s="588"/>
      <c r="L45" t="s">
        <v>31</v>
      </c>
    </row>
    <row r="46" spans="2:12" ht="9.75" customHeight="1">
      <c r="B46" s="585"/>
      <c r="C46" s="585"/>
      <c r="D46" s="585"/>
      <c r="E46" s="585"/>
      <c r="F46" s="585"/>
      <c r="G46" s="585"/>
      <c r="H46" s="585"/>
    </row>
    <row r="47" spans="2:12">
      <c r="B47" s="588" t="s">
        <v>77</v>
      </c>
      <c r="C47" s="588"/>
      <c r="D47" s="588"/>
      <c r="E47" s="588"/>
      <c r="F47" s="588"/>
      <c r="G47" s="588"/>
      <c r="H47" s="588"/>
    </row>
    <row r="48" spans="2:12" ht="9.75" customHeight="1">
      <c r="B48" s="585"/>
      <c r="C48" s="585"/>
      <c r="D48" s="585"/>
      <c r="E48" s="585"/>
      <c r="F48" s="585"/>
      <c r="G48" s="585"/>
      <c r="H48" s="585"/>
    </row>
    <row r="49" spans="1:8">
      <c r="B49" s="588" t="s">
        <v>78</v>
      </c>
      <c r="C49" s="588"/>
      <c r="D49" s="588"/>
      <c r="E49" s="588"/>
      <c r="F49" s="588"/>
      <c r="G49" s="588"/>
      <c r="H49" s="588"/>
    </row>
    <row r="50" spans="1:8" ht="9.75" customHeight="1">
      <c r="B50" s="585"/>
      <c r="C50" s="585"/>
      <c r="D50" s="585"/>
      <c r="E50" s="585"/>
      <c r="F50" s="585"/>
      <c r="G50" s="585"/>
      <c r="H50" s="585"/>
    </row>
    <row r="51" spans="1:8" ht="27" customHeight="1">
      <c r="B51" s="588" t="s">
        <v>79</v>
      </c>
      <c r="C51" s="588"/>
      <c r="D51" s="588"/>
      <c r="E51" s="588"/>
      <c r="F51" s="588"/>
      <c r="G51" s="588"/>
      <c r="H51" s="588"/>
    </row>
    <row r="52" spans="1:8">
      <c r="B52" s="585"/>
      <c r="C52" s="585"/>
      <c r="D52" s="585"/>
      <c r="E52" s="585"/>
      <c r="F52" s="585"/>
      <c r="G52" s="585"/>
      <c r="H52" s="585"/>
    </row>
    <row r="53" spans="1:8">
      <c r="B53" s="586" t="s">
        <v>80</v>
      </c>
      <c r="C53" s="586"/>
      <c r="D53" s="586"/>
      <c r="E53" s="586"/>
      <c r="F53" s="586"/>
      <c r="G53" s="586"/>
      <c r="H53" s="586"/>
    </row>
    <row r="54" spans="1:8" ht="34.5" customHeight="1">
      <c r="B54" s="584" t="s">
        <v>81</v>
      </c>
      <c r="C54" s="584"/>
      <c r="D54" s="584"/>
      <c r="E54" s="584"/>
      <c r="F54" s="584"/>
      <c r="G54" s="584"/>
      <c r="H54" s="584"/>
    </row>
    <row r="55" spans="1:8" ht="29.25" customHeight="1">
      <c r="B55" s="585" t="s">
        <v>82</v>
      </c>
      <c r="C55" s="585"/>
      <c r="D55" s="585"/>
      <c r="E55" s="585"/>
      <c r="F55" s="585"/>
      <c r="G55" s="585"/>
      <c r="H55" s="585"/>
    </row>
    <row r="56" spans="1:8">
      <c r="B56" s="589"/>
      <c r="C56" s="589"/>
      <c r="D56" s="589"/>
      <c r="E56" s="589"/>
      <c r="F56" s="589"/>
      <c r="G56" s="589"/>
      <c r="H56" s="589"/>
    </row>
    <row r="57" spans="1:8">
      <c r="A57" s="169" t="str">
        <f>config!P104</f>
        <v>www.fecomerciarios.org.br</v>
      </c>
      <c r="B57" s="155"/>
      <c r="D57" s="155"/>
      <c r="E57" s="155"/>
      <c r="F57" s="155"/>
      <c r="G57" s="155"/>
      <c r="H57" s="170" t="str">
        <f>config!H104</f>
        <v>(11) 3060 6600</v>
      </c>
    </row>
    <row r="58" spans="1:8">
      <c r="B58" s="155"/>
      <c r="D58" s="155"/>
      <c r="E58" s="155"/>
      <c r="F58" s="155"/>
      <c r="G58" s="155"/>
      <c r="H58" s="155"/>
    </row>
    <row r="59" spans="1:8" hidden="1">
      <c r="B59" s="155"/>
      <c r="D59" s="155"/>
      <c r="E59" s="155"/>
      <c r="F59" s="155"/>
      <c r="G59" s="155"/>
      <c r="H59" s="155"/>
    </row>
    <row r="60" spans="1:8" hidden="1">
      <c r="B60" s="155"/>
      <c r="D60" s="155"/>
      <c r="E60" s="155"/>
      <c r="F60" s="155"/>
      <c r="G60" s="155"/>
      <c r="H60" s="155"/>
    </row>
    <row r="61" spans="1:8" hidden="1">
      <c r="B61" s="155"/>
      <c r="D61" s="155"/>
      <c r="E61" s="155"/>
      <c r="F61" s="155"/>
      <c r="G61" s="155"/>
      <c r="H61" s="155"/>
    </row>
    <row r="62" spans="1:8" hidden="1">
      <c r="B62" s="155"/>
      <c r="D62" s="155"/>
      <c r="E62" s="155"/>
      <c r="F62" s="155"/>
      <c r="G62" s="155"/>
      <c r="H62" s="155"/>
    </row>
    <row r="63" spans="1:8" hidden="1">
      <c r="B63" s="155"/>
      <c r="D63" s="155"/>
      <c r="E63" s="155"/>
      <c r="F63" s="155"/>
      <c r="G63" s="155"/>
      <c r="H63" s="155"/>
    </row>
  </sheetData>
  <sheetProtection password="C1FF" sheet="1" objects="1" scenarios="1" selectLockedCells="1" selectUnlockedCells="1"/>
  <mergeCells count="35">
    <mergeCell ref="B53:H53"/>
    <mergeCell ref="B54:H54"/>
    <mergeCell ref="B55:H55"/>
    <mergeCell ref="B56:H56"/>
    <mergeCell ref="B47:H47"/>
    <mergeCell ref="B48:H48"/>
    <mergeCell ref="B49:H49"/>
    <mergeCell ref="B50:H50"/>
    <mergeCell ref="B51:H51"/>
    <mergeCell ref="B52:H52"/>
    <mergeCell ref="B42:H42"/>
    <mergeCell ref="B43:H43"/>
    <mergeCell ref="B44:H44"/>
    <mergeCell ref="B45:H45"/>
    <mergeCell ref="B46:H46"/>
    <mergeCell ref="B37:H37"/>
    <mergeCell ref="B38:H38"/>
    <mergeCell ref="B39:H39"/>
    <mergeCell ref="B40:H40"/>
    <mergeCell ref="B41:H41"/>
    <mergeCell ref="B32:H32"/>
    <mergeCell ref="B33:H33"/>
    <mergeCell ref="B34:H34"/>
    <mergeCell ref="B35:H35"/>
    <mergeCell ref="B36:H36"/>
    <mergeCell ref="D19:E19"/>
    <mergeCell ref="B6:H6"/>
    <mergeCell ref="B21:H21"/>
    <mergeCell ref="B25:H27"/>
    <mergeCell ref="B28:H30"/>
    <mergeCell ref="B5:H5"/>
    <mergeCell ref="C10:H10"/>
    <mergeCell ref="C12:H12"/>
    <mergeCell ref="D15:H15"/>
    <mergeCell ref="D17:E17"/>
  </mergeCells>
  <conditionalFormatting sqref="D18:E18 F18:F19">
    <cfRule type="cellIs" dxfId="19" priority="6" stopIfTrue="1" operator="notEqual">
      <formula>0</formula>
    </cfRule>
  </conditionalFormatting>
  <conditionalFormatting sqref="D17:E17">
    <cfRule type="containsText" dxfId="18" priority="5" stopIfTrue="1" operator="containsText" text="Parcelas a receber">
      <formula>NOT(ISERROR(SEARCH("Parcelas a receber",D17)))</formula>
    </cfRule>
  </conditionalFormatting>
  <conditionalFormatting sqref="D19:E19">
    <cfRule type="containsText" dxfId="17" priority="4" stopIfTrue="1" operator="containsText" text="Valor da parcela:">
      <formula>NOT(ISERROR(SEARCH("Valor da parcela:",D19)))</formula>
    </cfRule>
  </conditionalFormatting>
  <conditionalFormatting sqref="F17">
    <cfRule type="cellIs" dxfId="16" priority="3" stopIfTrue="1" operator="between">
      <formula>1</formula>
      <formula>5</formula>
    </cfRule>
  </conditionalFormatting>
  <conditionalFormatting sqref="D15:H15">
    <cfRule type="cellIs" dxfId="15" priority="2" stopIfTrue="1" operator="equal">
      <formula>"Somente tem direito ao benefício quem trabalhou mais de 6 meses."</formula>
    </cfRule>
  </conditionalFormatting>
  <conditionalFormatting sqref="B6:H6">
    <cfRule type="notContainsBlanks" dxfId="14" priority="1" stopIfTrue="1">
      <formula>LEN(TRIM(B6))&gt;0</formula>
    </cfRule>
  </conditionalFormatting>
  <pageMargins left="0.34" right="0.34" top="0.32" bottom="0.28000000000000003" header="0.15" footer="0.13"/>
  <pageSetup paperSize="9" scale="82" orientation="portrait" horizontalDpi="300" verticalDpi="300" r:id="rId1"/>
  <ignoredErrors>
    <ignoredError sqref="F9 F7" unlocked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>
    <pageSetUpPr fitToPage="1"/>
  </sheetPr>
  <dimension ref="A1:X24"/>
  <sheetViews>
    <sheetView showGridLines="0" showRowColHeaders="0" workbookViewId="0">
      <selection activeCell="L8" sqref="L8:N8"/>
    </sheetView>
  </sheetViews>
  <sheetFormatPr defaultColWidth="0" defaultRowHeight="18.75" customHeight="1" zeroHeight="1"/>
  <cols>
    <col min="1" max="14" width="5" style="2" customWidth="1"/>
    <col min="15" max="15" width="3" style="2" customWidth="1"/>
    <col min="16" max="16" width="3.140625" style="2" customWidth="1"/>
    <col min="17" max="17" width="5" style="2" customWidth="1"/>
    <col min="18" max="18" width="9.5703125" style="2" customWidth="1"/>
    <col min="19" max="19" width="22.85546875" style="2" customWidth="1"/>
    <col min="20" max="20" width="8.5703125" style="2" customWidth="1"/>
    <col min="21" max="21" width="37.5703125" style="2" hidden="1" customWidth="1"/>
    <col min="22" max="22" width="10.42578125" style="2" hidden="1" customWidth="1"/>
    <col min="23" max="23" width="48.85546875" style="2" hidden="1" customWidth="1"/>
    <col min="24" max="16384" width="9.140625" style="2" hidden="1"/>
  </cols>
  <sheetData>
    <row r="1" spans="1:23">
      <c r="A1" s="61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517" t="s">
        <v>132</v>
      </c>
      <c r="O1" s="517"/>
      <c r="P1" s="517"/>
      <c r="Q1" s="517"/>
      <c r="R1" s="517"/>
      <c r="S1" s="517"/>
      <c r="T1" s="61"/>
      <c r="V1" s="1"/>
      <c r="W1" s="1"/>
    </row>
    <row r="2" spans="1:23">
      <c r="A2" s="61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517"/>
      <c r="O2" s="517"/>
      <c r="P2" s="517"/>
      <c r="Q2" s="517"/>
      <c r="R2" s="517"/>
      <c r="S2" s="517"/>
      <c r="T2" s="61"/>
      <c r="V2" s="1"/>
      <c r="W2" s="1"/>
    </row>
    <row r="3" spans="1:23" ht="26.25">
      <c r="A3" s="61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18" t="str">
        <f>config!I101</f>
        <v>FECOMERCIÁRIOS</v>
      </c>
      <c r="O3" s="518"/>
      <c r="P3" s="518"/>
      <c r="Q3" s="518"/>
      <c r="R3" s="518"/>
      <c r="S3" s="518"/>
      <c r="T3" s="61"/>
      <c r="V3" s="1"/>
      <c r="W3" s="1"/>
    </row>
    <row r="4" spans="1:23" ht="4.5" customHeight="1">
      <c r="A4" s="61"/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61"/>
    </row>
    <row r="5" spans="1:23" ht="9" customHeight="1">
      <c r="A5" s="591"/>
      <c r="B5" s="591"/>
      <c r="C5" s="591"/>
      <c r="D5" s="591"/>
      <c r="E5" s="591"/>
      <c r="F5" s="591"/>
      <c r="G5" s="591"/>
      <c r="H5" s="591"/>
      <c r="I5" s="591"/>
      <c r="J5" s="591"/>
      <c r="K5" s="591"/>
      <c r="L5" s="591"/>
      <c r="M5" s="591"/>
      <c r="N5" s="591"/>
      <c r="O5" s="591"/>
      <c r="P5" s="591"/>
      <c r="Q5" s="591"/>
      <c r="R5" s="591"/>
      <c r="S5" s="591"/>
      <c r="T5" s="591"/>
    </row>
    <row r="6" spans="1:23">
      <c r="A6" s="61"/>
      <c r="B6" s="600" t="s">
        <v>93</v>
      </c>
      <c r="C6" s="600"/>
      <c r="D6" s="600"/>
      <c r="E6" s="600"/>
      <c r="F6" s="600"/>
      <c r="G6" s="600"/>
      <c r="H6" s="600"/>
      <c r="I6" s="600"/>
      <c r="J6" s="600"/>
      <c r="K6" s="600"/>
      <c r="L6" s="600"/>
      <c r="M6" s="600"/>
      <c r="N6" s="600"/>
      <c r="O6" s="600"/>
      <c r="P6" s="600"/>
      <c r="Q6" s="600"/>
      <c r="R6" s="600"/>
      <c r="S6" s="600"/>
      <c r="T6" s="61"/>
    </row>
    <row r="7" spans="1:23" ht="7.5" customHeight="1">
      <c r="A7" s="591"/>
      <c r="B7" s="591"/>
      <c r="C7" s="591"/>
      <c r="D7" s="591"/>
      <c r="E7" s="591"/>
      <c r="F7" s="591"/>
      <c r="G7" s="591"/>
      <c r="H7" s="591"/>
      <c r="I7" s="591"/>
      <c r="J7" s="591"/>
      <c r="K7" s="591"/>
      <c r="L7" s="591"/>
      <c r="M7" s="591"/>
      <c r="N7" s="591"/>
      <c r="O7" s="591"/>
      <c r="P7" s="591"/>
      <c r="Q7" s="591"/>
      <c r="R7" s="591"/>
      <c r="S7" s="591"/>
      <c r="T7" s="591"/>
    </row>
    <row r="8" spans="1:23" ht="21.75" customHeight="1">
      <c r="A8" s="61"/>
      <c r="B8" s="61"/>
      <c r="C8" s="61"/>
      <c r="D8" s="61"/>
      <c r="E8" s="61"/>
      <c r="F8" s="61"/>
      <c r="G8" s="61"/>
      <c r="H8" s="61"/>
      <c r="I8" s="592" t="s">
        <v>2</v>
      </c>
      <c r="J8" s="592"/>
      <c r="K8" s="592"/>
      <c r="L8" s="593"/>
      <c r="M8" s="593"/>
      <c r="N8" s="593"/>
      <c r="O8" s="67" t="s">
        <v>53</v>
      </c>
      <c r="P8" s="65"/>
      <c r="Q8" s="65"/>
      <c r="R8" s="65"/>
      <c r="S8" s="65"/>
      <c r="T8" s="65"/>
    </row>
    <row r="9" spans="1:23" ht="7.5" customHeight="1">
      <c r="A9" s="591"/>
      <c r="B9" s="591"/>
      <c r="C9" s="591"/>
      <c r="D9" s="591"/>
      <c r="E9" s="591"/>
      <c r="F9" s="591"/>
      <c r="G9" s="591"/>
      <c r="H9" s="591"/>
      <c r="I9" s="591"/>
      <c r="J9" s="591"/>
      <c r="K9" s="591"/>
      <c r="L9" s="591"/>
      <c r="M9" s="591"/>
      <c r="N9" s="591"/>
      <c r="O9" s="591"/>
      <c r="P9" s="591"/>
      <c r="Q9" s="591"/>
      <c r="R9" s="591"/>
      <c r="S9" s="591"/>
      <c r="T9" s="591"/>
    </row>
    <row r="10" spans="1:23" ht="21.75" customHeight="1">
      <c r="A10" s="61"/>
      <c r="B10" s="61"/>
      <c r="C10" s="61"/>
      <c r="D10" s="61"/>
      <c r="E10" s="61"/>
      <c r="F10" s="61"/>
      <c r="G10" s="61"/>
      <c r="H10" s="61"/>
      <c r="I10" s="61"/>
      <c r="J10" s="592" t="s">
        <v>3</v>
      </c>
      <c r="K10" s="592"/>
      <c r="L10" s="593"/>
      <c r="M10" s="593"/>
      <c r="N10" s="593"/>
      <c r="O10" s="66" t="s">
        <v>48</v>
      </c>
      <c r="P10" s="61"/>
      <c r="Q10" s="61"/>
      <c r="R10" s="61"/>
      <c r="S10" s="61"/>
      <c r="T10" s="61"/>
    </row>
    <row r="11" spans="1:23" ht="7.5" customHeight="1">
      <c r="A11" s="591"/>
      <c r="B11" s="591"/>
      <c r="C11" s="591"/>
      <c r="D11" s="591"/>
      <c r="E11" s="591"/>
      <c r="F11" s="591"/>
      <c r="G11" s="591"/>
      <c r="H11" s="591"/>
      <c r="I11" s="591"/>
      <c r="J11" s="591"/>
      <c r="K11" s="591"/>
      <c r="L11" s="591"/>
      <c r="M11" s="591"/>
      <c r="N11" s="591"/>
      <c r="O11" s="591"/>
      <c r="P11" s="591"/>
      <c r="Q11" s="591"/>
      <c r="R11" s="591"/>
      <c r="S11" s="591"/>
      <c r="T11" s="591"/>
    </row>
    <row r="12" spans="1:23" ht="21.75" customHeight="1">
      <c r="A12" s="61"/>
      <c r="B12" s="598"/>
      <c r="C12" s="598"/>
      <c r="D12" s="598"/>
      <c r="E12" s="598"/>
      <c r="F12" s="598"/>
      <c r="G12" s="598"/>
      <c r="H12" s="598"/>
      <c r="I12" s="598"/>
      <c r="J12" s="598"/>
      <c r="K12" s="598"/>
      <c r="L12" s="66" t="s">
        <v>94</v>
      </c>
      <c r="M12" s="78"/>
      <c r="N12" s="69">
        <f>IF(L8&gt;0,IF(L10&gt;0,(L10-L8)+1,0),0)</f>
        <v>0</v>
      </c>
      <c r="O12" s="68" t="s">
        <v>8</v>
      </c>
      <c r="P12" s="61"/>
      <c r="Q12" s="61"/>
      <c r="R12" s="61"/>
      <c r="S12" s="65"/>
      <c r="T12" s="61"/>
    </row>
    <row r="13" spans="1:23" ht="7.5" customHeight="1">
      <c r="A13" s="591"/>
      <c r="B13" s="591"/>
      <c r="C13" s="591"/>
      <c r="D13" s="591"/>
      <c r="E13" s="591"/>
      <c r="F13" s="591"/>
      <c r="G13" s="591"/>
      <c r="H13" s="591"/>
      <c r="I13" s="591"/>
      <c r="J13" s="591"/>
      <c r="K13" s="591"/>
      <c r="L13" s="591"/>
      <c r="M13" s="591"/>
      <c r="N13" s="591"/>
      <c r="O13" s="591"/>
      <c r="P13" s="591"/>
      <c r="Q13" s="591"/>
      <c r="R13" s="591"/>
      <c r="S13" s="591"/>
      <c r="T13" s="591"/>
    </row>
    <row r="14" spans="1:23" ht="21.75" customHeight="1">
      <c r="A14" s="61"/>
      <c r="B14" s="61"/>
      <c r="C14" s="61"/>
      <c r="D14" s="61"/>
      <c r="E14" s="61"/>
      <c r="F14" s="61"/>
      <c r="G14" s="61"/>
      <c r="H14" s="61"/>
      <c r="I14" s="592" t="s">
        <v>61</v>
      </c>
      <c r="J14" s="592"/>
      <c r="K14" s="592"/>
      <c r="L14" s="599"/>
      <c r="M14" s="599"/>
      <c r="N14" s="599"/>
      <c r="O14" s="599"/>
      <c r="P14" s="599"/>
      <c r="Q14" s="599"/>
      <c r="R14" s="61"/>
      <c r="S14" s="64"/>
      <c r="T14" s="61"/>
    </row>
    <row r="15" spans="1:23" ht="7.5" customHeight="1">
      <c r="A15" s="591"/>
      <c r="B15" s="591"/>
      <c r="C15" s="591"/>
      <c r="D15" s="591"/>
      <c r="E15" s="591"/>
      <c r="F15" s="591"/>
      <c r="G15" s="591"/>
      <c r="H15" s="591"/>
      <c r="I15" s="591"/>
      <c r="J15" s="591"/>
      <c r="K15" s="591"/>
      <c r="L15" s="591"/>
      <c r="M15" s="591"/>
      <c r="N15" s="591"/>
      <c r="O15" s="591"/>
      <c r="P15" s="591"/>
      <c r="Q15" s="591"/>
      <c r="R15" s="591"/>
      <c r="S15" s="591"/>
      <c r="T15" s="591"/>
    </row>
    <row r="16" spans="1:23" ht="7.5" customHeight="1">
      <c r="A16" s="61"/>
      <c r="B16" s="596"/>
      <c r="C16" s="596"/>
      <c r="D16" s="596"/>
      <c r="E16" s="596"/>
      <c r="F16" s="596"/>
      <c r="G16" s="596"/>
      <c r="H16" s="596"/>
      <c r="I16" s="596"/>
      <c r="J16" s="596"/>
      <c r="K16" s="596"/>
      <c r="L16" s="596"/>
      <c r="M16" s="596"/>
      <c r="N16" s="596"/>
      <c r="O16" s="596"/>
      <c r="P16" s="596"/>
      <c r="Q16" s="596"/>
      <c r="R16" s="596"/>
      <c r="S16" s="596"/>
      <c r="T16" s="61"/>
    </row>
    <row r="17" spans="1:24" ht="9.75" customHeight="1">
      <c r="A17" s="61"/>
      <c r="B17" s="597"/>
      <c r="C17" s="597"/>
      <c r="D17" s="597"/>
      <c r="E17" s="597"/>
      <c r="F17" s="597"/>
      <c r="G17" s="597"/>
      <c r="H17" s="597"/>
      <c r="I17" s="597"/>
      <c r="J17" s="597"/>
      <c r="K17" s="597"/>
      <c r="L17" s="597"/>
      <c r="M17" s="597"/>
      <c r="N17" s="597"/>
      <c r="O17" s="597"/>
      <c r="P17" s="597"/>
      <c r="Q17" s="597"/>
      <c r="R17" s="597"/>
      <c r="S17" s="597"/>
      <c r="T17" s="61"/>
    </row>
    <row r="18" spans="1:24" ht="21" customHeight="1">
      <c r="A18" s="61"/>
      <c r="B18" s="592" t="s">
        <v>24</v>
      </c>
      <c r="C18" s="592"/>
      <c r="D18" s="592"/>
      <c r="E18" s="592"/>
      <c r="F18" s="592"/>
      <c r="G18" s="592"/>
      <c r="H18" s="592"/>
      <c r="I18" s="592"/>
      <c r="J18" s="592"/>
      <c r="K18" s="595"/>
      <c r="L18" s="595"/>
      <c r="M18" s="61"/>
      <c r="N18" s="61"/>
      <c r="O18" s="61"/>
      <c r="P18" s="592" t="s">
        <v>215</v>
      </c>
      <c r="Q18" s="592"/>
      <c r="R18" s="592"/>
      <c r="S18" s="472"/>
      <c r="T18" s="61"/>
      <c r="U18" s="471"/>
      <c r="V18" s="471"/>
      <c r="W18" s="471"/>
      <c r="X18" s="471"/>
    </row>
    <row r="19" spans="1:24" ht="8.25" customHeight="1">
      <c r="A19" s="591"/>
      <c r="B19" s="591"/>
      <c r="C19" s="591"/>
      <c r="D19" s="591"/>
      <c r="E19" s="591"/>
      <c r="F19" s="591"/>
      <c r="G19" s="591"/>
      <c r="H19" s="591"/>
      <c r="I19" s="591"/>
      <c r="J19" s="591"/>
      <c r="K19" s="591"/>
      <c r="L19" s="591"/>
      <c r="M19" s="591"/>
      <c r="N19" s="591"/>
      <c r="O19" s="591"/>
      <c r="P19" s="591"/>
      <c r="Q19" s="591"/>
      <c r="R19" s="591"/>
      <c r="S19" s="591"/>
      <c r="T19" s="591"/>
    </row>
    <row r="20" spans="1:24" ht="21" customHeight="1">
      <c r="A20" s="61"/>
      <c r="B20" s="592" t="s">
        <v>91</v>
      </c>
      <c r="C20" s="592"/>
      <c r="D20" s="592"/>
      <c r="E20" s="592"/>
      <c r="F20" s="592"/>
      <c r="G20" s="592"/>
      <c r="H20" s="592"/>
      <c r="I20" s="595"/>
      <c r="J20" s="595"/>
      <c r="K20" s="67" t="s">
        <v>125</v>
      </c>
      <c r="L20" s="61"/>
      <c r="M20" s="61"/>
      <c r="N20" s="61"/>
      <c r="O20" s="61"/>
      <c r="P20" s="61"/>
      <c r="Q20" s="61"/>
      <c r="R20" s="61"/>
      <c r="S20" s="152">
        <f>config!F91</f>
        <v>1292.43</v>
      </c>
      <c r="T20" s="61"/>
    </row>
    <row r="21" spans="1:24">
      <c r="A21" s="61"/>
      <c r="B21" s="62"/>
      <c r="C21" s="62"/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3"/>
      <c r="P21" s="62"/>
      <c r="Q21" s="62"/>
      <c r="R21" s="62"/>
      <c r="S21" s="62"/>
      <c r="T21" s="61"/>
    </row>
    <row r="22" spans="1:24" ht="10.5" customHeight="1">
      <c r="A22" s="61"/>
      <c r="B22" s="61"/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</row>
    <row r="23" spans="1:24" ht="22.5" customHeight="1">
      <c r="A23" s="61"/>
      <c r="B23" s="61"/>
      <c r="C23" s="61"/>
      <c r="D23" s="61"/>
      <c r="E23" s="594"/>
      <c r="F23" s="594"/>
      <c r="G23" s="594"/>
      <c r="H23" s="594"/>
      <c r="I23" s="594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</row>
    <row r="24" spans="1:24">
      <c r="A24" s="590" t="str">
        <f>Menu!A31</f>
        <v>Planilha+ 5.1.2   .:.   Acácio Jr Tecnol  .:.    Última atualização: 24/02/2017  -  único@acaciojunior.com</v>
      </c>
      <c r="B24" s="590"/>
      <c r="C24" s="590"/>
      <c r="D24" s="590"/>
      <c r="E24" s="590"/>
      <c r="F24" s="590"/>
      <c r="G24" s="590"/>
      <c r="H24" s="590"/>
      <c r="I24" s="590"/>
      <c r="J24" s="590"/>
      <c r="K24" s="590"/>
      <c r="L24" s="590"/>
      <c r="M24" s="590"/>
      <c r="N24" s="590"/>
      <c r="O24" s="590"/>
      <c r="P24" s="590"/>
      <c r="Q24" s="590"/>
      <c r="R24" s="590"/>
      <c r="S24" s="590"/>
      <c r="T24" s="590"/>
    </row>
  </sheetData>
  <sheetProtection password="C1FF" sheet="1" objects="1" scenarios="1" selectLockedCells="1"/>
  <mergeCells count="26">
    <mergeCell ref="P18:R18"/>
    <mergeCell ref="L14:Q14"/>
    <mergeCell ref="N1:S2"/>
    <mergeCell ref="N3:S3"/>
    <mergeCell ref="A5:T5"/>
    <mergeCell ref="A7:T7"/>
    <mergeCell ref="B6:S6"/>
    <mergeCell ref="I8:K8"/>
    <mergeCell ref="L8:N8"/>
    <mergeCell ref="A9:T9"/>
    <mergeCell ref="A24:T24"/>
    <mergeCell ref="A13:T13"/>
    <mergeCell ref="J10:K10"/>
    <mergeCell ref="L10:N10"/>
    <mergeCell ref="A11:T11"/>
    <mergeCell ref="A15:T15"/>
    <mergeCell ref="E23:I23"/>
    <mergeCell ref="A19:T19"/>
    <mergeCell ref="B20:H20"/>
    <mergeCell ref="I20:J20"/>
    <mergeCell ref="B16:S16"/>
    <mergeCell ref="B17:S17"/>
    <mergeCell ref="B18:J18"/>
    <mergeCell ref="K18:L18"/>
    <mergeCell ref="B12:K12"/>
    <mergeCell ref="I14:K14"/>
  </mergeCells>
  <conditionalFormatting sqref="L10:N10">
    <cfRule type="cellIs" dxfId="13" priority="1" stopIfTrue="1" operator="lessThan">
      <formula>$L$8</formula>
    </cfRule>
  </conditionalFormatting>
  <pageMargins left="0.15" right="0.06" top="0.78740157480314965" bottom="0.78740157480314965" header="0.31496062992125984" footer="0.31496062992125984"/>
  <pageSetup paperSize="9" scale="82" orientation="portrait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>
    <pageSetUpPr fitToPage="1"/>
  </sheetPr>
  <dimension ref="A1:AP60"/>
  <sheetViews>
    <sheetView showGridLines="0" showRowColHeaders="0" workbookViewId="0">
      <selection activeCell="M10" sqref="M10:P10"/>
    </sheetView>
  </sheetViews>
  <sheetFormatPr defaultColWidth="0" defaultRowHeight="12" zeroHeight="1"/>
  <cols>
    <col min="1" max="1" width="3.28515625" style="3" customWidth="1"/>
    <col min="2" max="4" width="3.42578125" style="4" customWidth="1"/>
    <col min="5" max="5" width="2.5703125" style="4" customWidth="1"/>
    <col min="6" max="6" width="2.140625" style="4" customWidth="1"/>
    <col min="7" max="7" width="2.28515625" style="4" customWidth="1"/>
    <col min="8" max="8" width="6.140625" style="4" customWidth="1"/>
    <col min="9" max="12" width="3.42578125" style="4" customWidth="1"/>
    <col min="13" max="13" width="2.7109375" style="4" customWidth="1"/>
    <col min="14" max="27" width="3.42578125" style="4" customWidth="1"/>
    <col min="28" max="28" width="5.28515625" style="4" customWidth="1"/>
    <col min="29" max="29" width="3.28515625" style="4" hidden="1" customWidth="1"/>
    <col min="30" max="30" width="21.85546875" style="4" hidden="1" customWidth="1"/>
    <col min="31" max="32" width="14" style="4" hidden="1" customWidth="1"/>
    <col min="33" max="33" width="15.7109375" style="4" hidden="1" customWidth="1"/>
    <col min="34" max="34" width="18.42578125" style="4" hidden="1" customWidth="1"/>
    <col min="35" max="35" width="16.42578125" style="4" hidden="1" customWidth="1"/>
    <col min="36" max="36" width="11.5703125" style="4" hidden="1" customWidth="1"/>
    <col min="37" max="37" width="12" style="4" hidden="1" customWidth="1"/>
    <col min="38" max="38" width="21.140625" style="4" hidden="1" customWidth="1"/>
    <col min="39" max="16384" width="9.140625" style="4" hidden="1"/>
  </cols>
  <sheetData>
    <row r="1" spans="1:38" ht="30" customHeight="1">
      <c r="A1" s="91"/>
      <c r="B1" s="82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4" t="s">
        <v>168</v>
      </c>
    </row>
    <row r="2" spans="1:38" ht="18.75" customHeight="1">
      <c r="A2" s="91"/>
      <c r="B2" s="91"/>
      <c r="C2" s="91"/>
      <c r="D2" s="91"/>
      <c r="E2" s="91"/>
      <c r="F2" s="91"/>
      <c r="G2" s="156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7"/>
      <c r="AA2" s="157"/>
      <c r="AB2" s="91"/>
      <c r="AD2" s="389"/>
      <c r="AE2" s="390" t="s">
        <v>8</v>
      </c>
      <c r="AF2" s="391" t="s">
        <v>60</v>
      </c>
    </row>
    <row r="3" spans="1:38" ht="15.75" customHeight="1" thickBot="1">
      <c r="A3" s="91"/>
      <c r="B3" s="92"/>
      <c r="C3" s="92"/>
      <c r="D3" s="92"/>
      <c r="E3" s="92"/>
      <c r="F3" s="92"/>
      <c r="G3" s="601"/>
      <c r="H3" s="602"/>
      <c r="I3" s="602"/>
      <c r="J3" s="602"/>
      <c r="K3" s="602"/>
      <c r="L3" s="602"/>
      <c r="M3" s="602"/>
      <c r="N3" s="602"/>
      <c r="O3" s="602"/>
      <c r="P3" s="602"/>
      <c r="Q3" s="602"/>
      <c r="R3" s="602"/>
      <c r="S3" s="602"/>
      <c r="T3" s="602"/>
      <c r="U3" s="602"/>
      <c r="V3" s="602"/>
      <c r="W3" s="602"/>
      <c r="X3" s="602"/>
      <c r="Y3" s="602"/>
      <c r="Z3" s="602"/>
      <c r="AA3" s="602"/>
      <c r="AB3" s="91"/>
      <c r="AD3" s="469" t="s">
        <v>214</v>
      </c>
      <c r="AE3" s="394">
        <f>(M10-E10)+1</f>
        <v>1</v>
      </c>
      <c r="AF3" s="470" t="b">
        <f>IF(AE3&gt;=15,IF(AE3&lt;=44,1,IF(AE3&lt;=74,2,IF(AE3&lt;=104,3,IF(AE3&lt;=119,4)))))</f>
        <v>0</v>
      </c>
    </row>
    <row r="4" spans="1:38">
      <c r="A4" s="91"/>
      <c r="B4" s="91" t="str">
        <f>config!J103</f>
        <v>Rua dos Pinheiros, 20 - Pinheiros, São Paulo/SP</v>
      </c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3" t="str">
        <f>config!H104</f>
        <v>(11) 3060 6600</v>
      </c>
      <c r="AB4" s="91"/>
    </row>
    <row r="5" spans="1:38" ht="10.5" customHeight="1">
      <c r="A5" s="91"/>
      <c r="B5" s="603"/>
      <c r="C5" s="603"/>
      <c r="D5" s="603"/>
      <c r="E5" s="603"/>
      <c r="F5" s="603"/>
      <c r="G5" s="603"/>
      <c r="H5" s="603"/>
      <c r="I5" s="603"/>
      <c r="J5" s="603"/>
      <c r="K5" s="603"/>
      <c r="L5" s="603"/>
      <c r="M5" s="603"/>
      <c r="N5" s="603"/>
      <c r="O5" s="603"/>
      <c r="P5" s="603"/>
      <c r="Q5" s="603"/>
      <c r="R5" s="603"/>
      <c r="S5" s="603"/>
      <c r="T5" s="603"/>
      <c r="U5" s="603"/>
      <c r="V5" s="603"/>
      <c r="W5" s="603"/>
      <c r="X5" s="603"/>
      <c r="Y5" s="603"/>
      <c r="Z5" s="603"/>
      <c r="AA5" s="603"/>
      <c r="AB5" s="91"/>
      <c r="AD5" s="34"/>
      <c r="AH5" s="34"/>
    </row>
    <row r="6" spans="1:38" ht="23.25" customHeight="1">
      <c r="A6" s="91"/>
      <c r="B6" s="604" t="s">
        <v>90</v>
      </c>
      <c r="C6" s="604"/>
      <c r="D6" s="604"/>
      <c r="E6" s="604"/>
      <c r="F6" s="604"/>
      <c r="G6" s="604"/>
      <c r="H6" s="604"/>
      <c r="I6" s="604"/>
      <c r="J6" s="604"/>
      <c r="K6" s="604"/>
      <c r="L6" s="604"/>
      <c r="M6" s="604"/>
      <c r="N6" s="604"/>
      <c r="O6" s="604"/>
      <c r="P6" s="604"/>
      <c r="Q6" s="604"/>
      <c r="R6" s="604"/>
      <c r="S6" s="604"/>
      <c r="T6" s="604"/>
      <c r="U6" s="604"/>
      <c r="V6" s="604"/>
      <c r="W6" s="604"/>
      <c r="X6" s="604"/>
      <c r="Y6" s="604"/>
      <c r="Z6" s="604"/>
      <c r="AA6" s="604"/>
      <c r="AB6" s="91"/>
      <c r="AD6" s="4" t="s">
        <v>49</v>
      </c>
      <c r="AE6" s="4">
        <f>IF(MONTH(M10)=MONTH(E10),IF(YEAR(M10)=YEAR(E10),DAY(M10)-DAY(E10),DAY(M10)),DAY(M10))</f>
        <v>0</v>
      </c>
      <c r="AF6" s="4" t="s">
        <v>129</v>
      </c>
      <c r="AG6" s="4">
        <f>IF(MONTH(M10)=MONTH(E10),IF(YEAR(M10)=YEAR(E10),DAY(M10)-DAY(E10),DAY(M10)),DAY(M10))</f>
        <v>0</v>
      </c>
    </row>
    <row r="7" spans="1:38" ht="7.5" customHeight="1">
      <c r="A7" s="91"/>
      <c r="B7" s="91"/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D7" s="4" t="s">
        <v>33</v>
      </c>
      <c r="AE7" s="6"/>
      <c r="AF7" s="7">
        <f>M10</f>
        <v>0</v>
      </c>
      <c r="AG7" s="4" t="s">
        <v>39</v>
      </c>
      <c r="AI7" s="4" t="s">
        <v>50</v>
      </c>
      <c r="AJ7" s="4" t="s">
        <v>51</v>
      </c>
    </row>
    <row r="8" spans="1:38" ht="14.25" customHeight="1">
      <c r="A8" s="91"/>
      <c r="B8" s="624" t="s">
        <v>92</v>
      </c>
      <c r="C8" s="624"/>
      <c r="D8" s="624"/>
      <c r="E8" s="624"/>
      <c r="F8" s="624"/>
      <c r="G8" s="624"/>
      <c r="H8" s="624"/>
      <c r="I8" s="624"/>
      <c r="J8" s="624"/>
      <c r="K8" s="624"/>
      <c r="L8" s="624"/>
      <c r="M8" s="624"/>
      <c r="N8" s="624"/>
      <c r="O8" s="624"/>
      <c r="P8" s="624"/>
      <c r="Q8" s="624"/>
      <c r="R8" s="624"/>
      <c r="S8" s="624"/>
      <c r="T8" s="624"/>
      <c r="U8" s="624"/>
      <c r="V8" s="624"/>
      <c r="W8" s="624"/>
      <c r="X8" s="624"/>
      <c r="Y8" s="624"/>
      <c r="Z8" s="624"/>
      <c r="AA8" s="624"/>
      <c r="AB8" s="94"/>
      <c r="AC8" s="28"/>
      <c r="AD8" s="4" t="s">
        <v>4</v>
      </c>
      <c r="AE8" s="31">
        <f>IF(YEAR(AF7)&gt;YEAR(E10),(YEAR(AF7)-YEAR(E10))-AH8,0)</f>
        <v>0</v>
      </c>
      <c r="AF8" s="8">
        <f>IF(AG8&lt;=0,DAY(AF7)-DAY(E10),0)</f>
        <v>0</v>
      </c>
      <c r="AG8" s="4">
        <f>MONTH(AF7)-MONTH(E10)</f>
        <v>0</v>
      </c>
      <c r="AH8" s="9">
        <f>IF(AG8&lt;0,1,IF(AF8&lt;0,1,0))</f>
        <v>0</v>
      </c>
      <c r="AI8" s="32">
        <f>DAY(AF7)-DAY(E10)</f>
        <v>0</v>
      </c>
      <c r="AJ8" s="32">
        <f>IF(AI8&gt;=15,AG8+1,AG8)</f>
        <v>0</v>
      </c>
    </row>
    <row r="9" spans="1:38" ht="7.5" customHeight="1">
      <c r="A9" s="91"/>
      <c r="B9" s="94"/>
      <c r="C9" s="94"/>
      <c r="D9" s="94"/>
      <c r="E9" s="94"/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28"/>
      <c r="AD9" s="4" t="s">
        <v>5</v>
      </c>
      <c r="AE9" s="6">
        <f>YEAR(M10)</f>
        <v>1900</v>
      </c>
      <c r="AF9" s="7">
        <f>DATE(AE9,1,1)</f>
        <v>1</v>
      </c>
      <c r="AG9" s="7"/>
      <c r="AI9" s="10"/>
    </row>
    <row r="10" spans="1:38" ht="15">
      <c r="A10" s="91"/>
      <c r="B10" s="94" t="s">
        <v>2</v>
      </c>
      <c r="C10" s="94"/>
      <c r="D10" s="94"/>
      <c r="E10" s="605">
        <f>masc_termino!L8</f>
        <v>0</v>
      </c>
      <c r="F10" s="606"/>
      <c r="G10" s="606"/>
      <c r="H10" s="606"/>
      <c r="I10" s="606"/>
      <c r="J10" s="94"/>
      <c r="K10" s="94" t="s">
        <v>3</v>
      </c>
      <c r="L10" s="94"/>
      <c r="M10" s="607">
        <f>masc_termino!L10</f>
        <v>0</v>
      </c>
      <c r="N10" s="607"/>
      <c r="O10" s="607"/>
      <c r="P10" s="607"/>
      <c r="Q10" s="96"/>
      <c r="R10" s="94" t="s">
        <v>61</v>
      </c>
      <c r="S10" s="94"/>
      <c r="T10" s="94"/>
      <c r="U10" s="609">
        <f>masc_termino!L14</f>
        <v>0</v>
      </c>
      <c r="V10" s="609"/>
      <c r="W10" s="609"/>
      <c r="X10" s="609"/>
      <c r="Y10" s="609"/>
      <c r="Z10" s="609"/>
      <c r="AA10" s="119"/>
      <c r="AB10" s="94"/>
      <c r="AC10" s="28"/>
      <c r="AD10" s="4" t="s">
        <v>6</v>
      </c>
      <c r="AE10" s="6">
        <f>MONTH(AF7)+AG10</f>
        <v>0</v>
      </c>
      <c r="AF10" s="9">
        <f>DAY(AF7)</f>
        <v>0</v>
      </c>
      <c r="AG10" s="9">
        <f>IF(AF10&lt;15,-1,0)</f>
        <v>-1</v>
      </c>
      <c r="AH10" s="32"/>
    </row>
    <row r="11" spans="1:38" ht="7.5" customHeight="1">
      <c r="A11" s="91"/>
      <c r="B11" s="94"/>
      <c r="C11" s="94"/>
      <c r="D11" s="94"/>
      <c r="E11" s="94"/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608"/>
      <c r="T11" s="608"/>
      <c r="U11" s="608"/>
      <c r="V11" s="608"/>
      <c r="W11" s="608"/>
      <c r="X11" s="608"/>
      <c r="Y11" s="608"/>
      <c r="Z11" s="608"/>
      <c r="AA11" s="608"/>
      <c r="AB11" s="94"/>
      <c r="AC11" s="28"/>
      <c r="AD11" s="386" t="s">
        <v>7</v>
      </c>
      <c r="AE11" s="388">
        <f>IF(YEAR(E10)=YEAR(M10),MONTH(M10)-MONTH(E10)-1,IF(MONTH(E10)&gt;MONTH(M10),12-MONTH(E10)+MONTH(M10)-1))+AF11</f>
        <v>-1</v>
      </c>
      <c r="AF11" s="388">
        <f>IF(AG11&gt;=15,1,0)</f>
        <v>0</v>
      </c>
      <c r="AG11" s="387">
        <f>IF(DAY(E10)&gt;DAY(M10),(DAY(AH14)-DAY(E10)+DAY(M10)+1),DAY(M10)-DAY(E10)+1)</f>
        <v>1</v>
      </c>
      <c r="AH11" s="38">
        <f>IF(YEAR(E10)=YEAR(M10),0,IF(DAY(E10)&gt;15,1,0))</f>
        <v>0</v>
      </c>
      <c r="AI11" s="38"/>
      <c r="AJ11" s="38"/>
    </row>
    <row r="12" spans="1:38" ht="3" customHeight="1">
      <c r="A12" s="91"/>
      <c r="B12" s="95"/>
      <c r="C12" s="108"/>
      <c r="D12" s="108"/>
      <c r="E12" s="108"/>
      <c r="F12" s="108"/>
      <c r="G12" s="108"/>
      <c r="H12" s="108"/>
      <c r="I12" s="108"/>
      <c r="J12" s="108"/>
      <c r="K12" s="107"/>
      <c r="L12" s="107"/>
      <c r="M12" s="107"/>
      <c r="N12" s="108"/>
      <c r="O12" s="108"/>
      <c r="P12" s="108"/>
      <c r="Q12" s="108"/>
      <c r="R12" s="108"/>
      <c r="S12" s="108"/>
      <c r="T12" s="107"/>
      <c r="U12" s="107"/>
      <c r="V12" s="107"/>
      <c r="W12" s="107"/>
      <c r="X12" s="107"/>
      <c r="Y12" s="107"/>
      <c r="Z12" s="107"/>
      <c r="AA12" s="94"/>
      <c r="AB12" s="94"/>
      <c r="AC12" s="28"/>
      <c r="AG12" s="38"/>
      <c r="AH12" s="38"/>
      <c r="AI12" s="38"/>
      <c r="AJ12" s="38"/>
    </row>
    <row r="13" spans="1:38" ht="7.5" customHeight="1">
      <c r="A13" s="91"/>
      <c r="B13" s="94"/>
      <c r="C13" s="94"/>
      <c r="D13" s="94"/>
      <c r="E13" s="94"/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28"/>
      <c r="AD13" s="4" t="s">
        <v>10</v>
      </c>
      <c r="AE13" s="11">
        <f>U10/30</f>
        <v>0</v>
      </c>
      <c r="AF13" s="10"/>
    </row>
    <row r="14" spans="1:38" ht="15">
      <c r="A14" s="91"/>
      <c r="B14" s="631" t="s">
        <v>43</v>
      </c>
      <c r="C14" s="631"/>
      <c r="D14" s="631"/>
      <c r="E14" s="631"/>
      <c r="F14" s="631"/>
      <c r="G14" s="631"/>
      <c r="H14" s="631"/>
      <c r="I14" s="631"/>
      <c r="J14" s="631"/>
      <c r="K14" s="631"/>
      <c r="L14" s="631"/>
      <c r="M14" s="610">
        <f>masc_termino!K18</f>
        <v>0</v>
      </c>
      <c r="N14" s="610"/>
      <c r="O14" s="95"/>
      <c r="P14" s="611" t="s">
        <v>42</v>
      </c>
      <c r="Q14" s="611"/>
      <c r="R14" s="611"/>
      <c r="S14" s="611"/>
      <c r="T14" s="611"/>
      <c r="U14" s="611"/>
      <c r="V14" s="611"/>
      <c r="W14" s="611"/>
      <c r="X14" s="611"/>
      <c r="Y14" s="611"/>
      <c r="Z14" s="612">
        <f>masc_termino!I20</f>
        <v>0</v>
      </c>
      <c r="AA14" s="612"/>
      <c r="AB14" s="94"/>
      <c r="AC14" s="28"/>
      <c r="AD14" s="4" t="s">
        <v>11</v>
      </c>
      <c r="AE14" s="11">
        <f>U10/12</f>
        <v>0</v>
      </c>
      <c r="AG14" s="389" t="s">
        <v>203</v>
      </c>
      <c r="AH14" s="396" t="e">
        <f>EOMONTH(M10,-1)</f>
        <v>#NUM!</v>
      </c>
    </row>
    <row r="15" spans="1:38" ht="5.25" customHeight="1">
      <c r="A15" s="91"/>
      <c r="B15" s="98"/>
      <c r="C15" s="94"/>
      <c r="D15" s="94"/>
      <c r="E15" s="94"/>
      <c r="F15" s="94"/>
      <c r="G15" s="94"/>
      <c r="H15" s="91"/>
      <c r="I15" s="91"/>
      <c r="J15" s="91"/>
      <c r="K15" s="94"/>
      <c r="L15" s="107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94"/>
      <c r="AA15" s="94"/>
      <c r="AB15" s="94"/>
      <c r="AC15" s="28"/>
      <c r="AD15" s="389" t="s">
        <v>54</v>
      </c>
      <c r="AE15" s="390" t="s">
        <v>55</v>
      </c>
      <c r="AF15" s="390" t="s">
        <v>8</v>
      </c>
      <c r="AG15" s="390" t="s">
        <v>56</v>
      </c>
      <c r="AH15" s="391"/>
      <c r="AI15" s="38"/>
      <c r="AJ15" s="38"/>
      <c r="AK15" s="38"/>
      <c r="AL15" s="38"/>
    </row>
    <row r="16" spans="1:38" ht="7.5" customHeight="1">
      <c r="A16" s="91"/>
      <c r="B16" s="99"/>
      <c r="C16" s="99"/>
      <c r="D16" s="99"/>
      <c r="E16" s="99"/>
      <c r="F16" s="99"/>
      <c r="G16" s="99"/>
      <c r="H16" s="99"/>
      <c r="I16" s="99"/>
      <c r="J16" s="99"/>
      <c r="K16" s="99"/>
      <c r="L16" s="99"/>
      <c r="M16" s="99"/>
      <c r="N16" s="99"/>
      <c r="O16" s="100"/>
      <c r="P16" s="99"/>
      <c r="Q16" s="99"/>
      <c r="R16" s="99"/>
      <c r="S16" s="99"/>
      <c r="T16" s="99"/>
      <c r="U16" s="99"/>
      <c r="V16" s="99"/>
      <c r="W16" s="99"/>
      <c r="X16" s="99"/>
      <c r="Y16" s="99"/>
      <c r="Z16" s="99"/>
      <c r="AA16" s="99"/>
      <c r="AB16" s="94"/>
      <c r="AC16" s="28"/>
      <c r="AD16" s="392" t="s">
        <v>54</v>
      </c>
      <c r="AE16" s="393">
        <f>IF(YEAR(M10)&gt;YEAR(E10),IF(AF16&gt;=15,MONTH(M10),MONTH(M10)-1),MONTH(M10)-MONTH(E10))</f>
        <v>0</v>
      </c>
      <c r="AF16" s="394">
        <f>IF(YEAR(E10)=YEAR(M10),IF(DAY(E10)&gt;DAY(M10),(DAY(AH14)-DAY(E10)+DAY(M10)+1),DAY(M10)-DAY(E10)+1),DAY(M10))</f>
        <v>1</v>
      </c>
      <c r="AG16" s="394">
        <f>IF(YEAR(M10)=YEAR(E10),IF(AF16&gt;=15,AE16,AE16-1),AE16)+AH16</f>
        <v>-1</v>
      </c>
      <c r="AH16" s="395">
        <f>IF(YEAR(E10)=YEAR(M10),0,IF(DAY(E10)&gt;15,1,0))</f>
        <v>0</v>
      </c>
      <c r="AI16" s="38"/>
      <c r="AJ16" s="38"/>
      <c r="AK16" s="38"/>
      <c r="AL16" s="38"/>
    </row>
    <row r="17" spans="1:42" ht="7.5" customHeight="1">
      <c r="A17" s="91"/>
      <c r="B17" s="94"/>
      <c r="C17" s="94"/>
      <c r="D17" s="94"/>
      <c r="E17" s="94"/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28"/>
      <c r="AD17" s="35"/>
      <c r="AF17" s="35"/>
      <c r="AG17" s="36"/>
      <c r="AH17" s="35"/>
      <c r="AI17" s="35"/>
      <c r="AJ17" s="35"/>
      <c r="AK17" s="35"/>
    </row>
    <row r="18" spans="1:42" ht="12.75" customHeight="1">
      <c r="A18" s="91"/>
      <c r="B18" s="101" t="s">
        <v>9</v>
      </c>
      <c r="C18" s="101"/>
      <c r="D18" s="101"/>
      <c r="E18" s="101"/>
      <c r="F18" s="613">
        <f>IF(AG6&gt;30,30,AG6)</f>
        <v>0</v>
      </c>
      <c r="G18" s="613"/>
      <c r="H18" s="101" t="str">
        <f>IF(F18=1,"dia","dias")</f>
        <v>dias</v>
      </c>
      <c r="I18" s="614">
        <f>(F18*AE13)+W12</f>
        <v>0</v>
      </c>
      <c r="J18" s="614"/>
      <c r="K18" s="614"/>
      <c r="L18" s="614"/>
      <c r="M18" s="101"/>
      <c r="N18" s="101"/>
      <c r="O18" s="101"/>
      <c r="P18" s="101"/>
      <c r="Q18" s="101"/>
      <c r="R18" s="615" t="s">
        <v>0</v>
      </c>
      <c r="S18" s="615"/>
      <c r="T18" s="615"/>
      <c r="U18" s="615"/>
      <c r="V18" s="615"/>
      <c r="W18" s="615"/>
      <c r="X18" s="615"/>
      <c r="Y18" s="615"/>
      <c r="Z18" s="615"/>
      <c r="AA18" s="615"/>
      <c r="AB18" s="94"/>
      <c r="AC18" s="28"/>
      <c r="AD18" s="34" t="s">
        <v>52</v>
      </c>
      <c r="AE18" s="6">
        <f>YEAR(AF7)-YEAR(E10)</f>
        <v>0</v>
      </c>
      <c r="AF18" s="9">
        <f>IF(AE18=0,MONTH(AF7)-MONTH(E10),0)</f>
        <v>0</v>
      </c>
      <c r="AG18" s="9">
        <f>IF(AE18=0,DAY(AF7)-DAY(E10),0)</f>
        <v>0</v>
      </c>
      <c r="AH18" s="34">
        <f>IF(AF18&gt;0,IF(AG18&gt;=15,AF18,AF18-1),0)</f>
        <v>0</v>
      </c>
      <c r="AI18" s="9">
        <f>DAY(AF7)</f>
        <v>0</v>
      </c>
      <c r="AJ18" s="14">
        <f>IF(AF18=0,MONTH(AF7),0)</f>
        <v>1</v>
      </c>
      <c r="AK18" s="34">
        <f>IF(AJ18&gt;0,IF(AI18&gt;=15,AJ18,AJ18-1),0)</f>
        <v>0</v>
      </c>
    </row>
    <row r="19" spans="1:42" ht="6" customHeight="1">
      <c r="A19" s="91"/>
      <c r="B19" s="101"/>
      <c r="C19" s="101"/>
      <c r="D19" s="101"/>
      <c r="E19" s="101"/>
      <c r="F19" s="101"/>
      <c r="G19" s="101"/>
      <c r="H19" s="101"/>
      <c r="I19" s="102"/>
      <c r="J19" s="102"/>
      <c r="K19" s="102"/>
      <c r="L19" s="102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94"/>
      <c r="AC19" s="28"/>
      <c r="AD19" s="12" t="s">
        <v>14</v>
      </c>
      <c r="AE19" s="13" t="s">
        <v>15</v>
      </c>
      <c r="AF19" s="14" t="s">
        <v>17</v>
      </c>
      <c r="AG19" s="4" t="s">
        <v>18</v>
      </c>
      <c r="AH19" s="4" t="s">
        <v>57</v>
      </c>
    </row>
    <row r="20" spans="1:42" ht="12.75" customHeight="1">
      <c r="A20" s="91"/>
      <c r="B20" s="101" t="str">
        <f>IF(I20&gt;0,"13º Salário:","")</f>
        <v/>
      </c>
      <c r="C20" s="101"/>
      <c r="D20" s="101"/>
      <c r="E20" s="628" t="b">
        <f>AF3</f>
        <v>0</v>
      </c>
      <c r="F20" s="629"/>
      <c r="G20" s="105" t="str">
        <f>IF(E20&gt;0,IF(E20=1,"mês","meses"),"")</f>
        <v>meses</v>
      </c>
      <c r="H20" s="101"/>
      <c r="I20" s="617">
        <f>AE14*E20</f>
        <v>0</v>
      </c>
      <c r="J20" s="617"/>
      <c r="K20" s="617"/>
      <c r="L20" s="617"/>
      <c r="M20" s="630"/>
      <c r="N20" s="630"/>
      <c r="O20" s="103"/>
      <c r="P20" s="101"/>
      <c r="Q20" s="101"/>
      <c r="R20" s="101" t="str">
        <f>IF(X20&gt;0,"INSS Saldo Salário:","")</f>
        <v/>
      </c>
      <c r="S20" s="101"/>
      <c r="T20" s="101"/>
      <c r="U20" s="101"/>
      <c r="V20" s="101"/>
      <c r="W20" s="101"/>
      <c r="X20" s="617">
        <f>IF(AF24&gt;0,I18*AF24,AE23)</f>
        <v>0</v>
      </c>
      <c r="Y20" s="617"/>
      <c r="Z20" s="617"/>
      <c r="AA20" s="617"/>
      <c r="AB20" s="94"/>
      <c r="AC20" s="28"/>
      <c r="AD20" s="4" t="s">
        <v>12</v>
      </c>
      <c r="AE20" s="15">
        <f>config!F72</f>
        <v>1659.38</v>
      </c>
      <c r="AF20" s="14">
        <f>IF(I22&lt;=AE20,config!M72,0)</f>
        <v>0.08</v>
      </c>
      <c r="AG20" s="4">
        <f>IF(I24&lt;=AE20,config!M72,0)</f>
        <v>0.08</v>
      </c>
      <c r="AH20" s="4">
        <f>IF(I38&lt;=AE20,config!M72,0)</f>
        <v>0.08</v>
      </c>
    </row>
    <row r="21" spans="1:42" ht="6" customHeight="1">
      <c r="A21" s="91"/>
      <c r="B21" s="101"/>
      <c r="C21" s="101"/>
      <c r="D21" s="101"/>
      <c r="E21" s="101"/>
      <c r="F21" s="101"/>
      <c r="G21" s="101"/>
      <c r="H21" s="101"/>
      <c r="I21" s="102"/>
      <c r="J21" s="102"/>
      <c r="K21" s="102"/>
      <c r="L21" s="102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4"/>
      <c r="Y21" s="104"/>
      <c r="Z21" s="104"/>
      <c r="AA21" s="104"/>
      <c r="AB21" s="94"/>
      <c r="AC21" s="28"/>
      <c r="AD21" s="4" t="s">
        <v>12</v>
      </c>
      <c r="AE21" s="15">
        <f>config!J73</f>
        <v>2765.66</v>
      </c>
      <c r="AF21" s="14">
        <f>IF(I22&gt;AE20,IF(I22&lt;=AE21,config!M73,0),0)</f>
        <v>0</v>
      </c>
      <c r="AG21" s="4">
        <f>IF(I24&gt;AE20,IF(I24&lt;=AE21,config!M73,0),0)</f>
        <v>0</v>
      </c>
      <c r="AH21" s="4">
        <f>IF(I38&gt;AE20,IF(I38&lt;=AE21,config!M73,0),0)</f>
        <v>0</v>
      </c>
    </row>
    <row r="22" spans="1:42" ht="12.75" customHeight="1">
      <c r="A22" s="91"/>
      <c r="B22" s="101" t="str">
        <f>IF(I22&gt;0,"Férias Proporcionais:","")</f>
        <v/>
      </c>
      <c r="C22" s="101"/>
      <c r="D22" s="101"/>
      <c r="E22" s="101"/>
      <c r="F22" s="101"/>
      <c r="G22" s="101"/>
      <c r="H22" s="106"/>
      <c r="I22" s="617">
        <f>AE11*AE14</f>
        <v>0</v>
      </c>
      <c r="J22" s="617"/>
      <c r="K22" s="617"/>
      <c r="L22" s="617"/>
      <c r="M22" s="468" t="b">
        <f>AF3</f>
        <v>0</v>
      </c>
      <c r="N22" s="91" t="str">
        <f>IF(M22&gt;1,"meses","mês")</f>
        <v>meses</v>
      </c>
      <c r="O22" s="91"/>
      <c r="P22" s="91"/>
      <c r="Q22" s="101"/>
      <c r="R22" s="101" t="str">
        <f>IF(X22&gt;0,"Inss 13º Salário:","")</f>
        <v/>
      </c>
      <c r="S22" s="101"/>
      <c r="T22" s="101"/>
      <c r="U22" s="101"/>
      <c r="V22" s="101"/>
      <c r="W22" s="97"/>
      <c r="X22" s="614">
        <f>IF(AG24&gt;0,I20*AG24,AE23)</f>
        <v>0</v>
      </c>
      <c r="Y22" s="614"/>
      <c r="Z22" s="614"/>
      <c r="AA22" s="614"/>
      <c r="AB22" s="94"/>
      <c r="AC22" s="28"/>
      <c r="AD22" s="4" t="s">
        <v>12</v>
      </c>
      <c r="AE22" s="15">
        <f>config!J74</f>
        <v>5531.31</v>
      </c>
      <c r="AF22" s="14">
        <f>IF(I22&gt;AE21,IF(I22&lt;=AE22,config!M74,0),0)</f>
        <v>0</v>
      </c>
      <c r="AG22" s="4">
        <f>IF(I24&gt;AE21,IF(I24&lt;=AE22,config!M74,0),0)</f>
        <v>0</v>
      </c>
      <c r="AH22" s="4">
        <f>IF(I38&gt;AE21,IF(I38&lt;=AE22,config!M74,0),0)</f>
        <v>0</v>
      </c>
    </row>
    <row r="23" spans="1:42" ht="6" customHeight="1">
      <c r="A23" s="91"/>
      <c r="B23" s="101"/>
      <c r="C23" s="101"/>
      <c r="D23" s="101"/>
      <c r="E23" s="101"/>
      <c r="F23" s="101"/>
      <c r="G23" s="101"/>
      <c r="H23" s="101"/>
      <c r="I23" s="102"/>
      <c r="J23" s="102"/>
      <c r="K23" s="102"/>
      <c r="L23" s="102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4"/>
      <c r="Y23" s="104"/>
      <c r="Z23" s="104"/>
      <c r="AA23" s="104"/>
      <c r="AB23" s="94"/>
      <c r="AC23" s="28"/>
      <c r="AD23" s="4" t="s">
        <v>13</v>
      </c>
      <c r="AE23" s="15">
        <f>AE22*11%</f>
        <v>608.44410000000005</v>
      </c>
      <c r="AF23" s="14">
        <f>IF(I22&gt;AE22,381.4,0)</f>
        <v>0</v>
      </c>
      <c r="AG23" s="4">
        <f>IF(I24&gt;AE22,381.41,0)</f>
        <v>0</v>
      </c>
      <c r="AH23" s="4">
        <f>IF(I38&gt;AE22,381.41,0)</f>
        <v>0</v>
      </c>
    </row>
    <row r="24" spans="1:42" ht="12.75" customHeight="1">
      <c r="A24" s="91"/>
      <c r="B24" s="101" t="str">
        <f>IF(I24&gt;0,"1/3 Férias Proporcionais:","")</f>
        <v/>
      </c>
      <c r="C24" s="101"/>
      <c r="D24" s="101"/>
      <c r="E24" s="101"/>
      <c r="F24" s="101"/>
      <c r="G24" s="101"/>
      <c r="H24" s="101"/>
      <c r="I24" s="614">
        <f>I22/3</f>
        <v>0</v>
      </c>
      <c r="J24" s="614"/>
      <c r="K24" s="614"/>
      <c r="L24" s="614"/>
      <c r="M24" s="101"/>
      <c r="N24" s="101"/>
      <c r="O24" s="101"/>
      <c r="P24" s="101"/>
      <c r="Q24" s="101"/>
      <c r="R24" s="103" t="str">
        <f>IF(X24&gt;0,"Contrib. Confed.:","")</f>
        <v/>
      </c>
      <c r="S24" s="103"/>
      <c r="T24" s="103"/>
      <c r="U24" s="103"/>
      <c r="V24" s="103"/>
      <c r="W24" s="103"/>
      <c r="X24" s="622">
        <f>IF(I18&lt;=3000,I18*config!P6,60)</f>
        <v>0</v>
      </c>
      <c r="Y24" s="622"/>
      <c r="Z24" s="622"/>
      <c r="AA24" s="622"/>
      <c r="AB24" s="94"/>
      <c r="AC24" s="27"/>
      <c r="AD24" s="4" t="s">
        <v>16</v>
      </c>
      <c r="AE24" s="14"/>
      <c r="AF24" s="14">
        <f>IF(I18&lt;=AE22,SUM(AF20:AF22),0)</f>
        <v>0.08</v>
      </c>
      <c r="AG24" s="14">
        <f>IF(I20&lt;=AE22,SUM(AG20:AG22),0)</f>
        <v>0.08</v>
      </c>
      <c r="AH24" s="4">
        <f>IF(I38&lt;=AE22,SUM(AH20:AH22),0)</f>
        <v>0.08</v>
      </c>
    </row>
    <row r="25" spans="1:42" ht="6" customHeight="1">
      <c r="A25" s="91"/>
      <c r="B25" s="101"/>
      <c r="C25" s="101"/>
      <c r="D25" s="101"/>
      <c r="E25" s="101"/>
      <c r="F25" s="101"/>
      <c r="G25" s="101"/>
      <c r="H25" s="101"/>
      <c r="I25" s="102"/>
      <c r="J25" s="102"/>
      <c r="K25" s="102"/>
      <c r="L25" s="102"/>
      <c r="M25" s="101"/>
      <c r="N25" s="101"/>
      <c r="O25" s="101"/>
      <c r="P25" s="120"/>
      <c r="Q25" s="120"/>
      <c r="R25" s="120"/>
      <c r="S25" s="120"/>
      <c r="T25" s="120"/>
      <c r="U25" s="120"/>
      <c r="V25" s="120"/>
      <c r="W25" s="120"/>
      <c r="X25" s="104"/>
      <c r="Y25" s="104"/>
      <c r="Z25" s="104"/>
      <c r="AA25" s="104"/>
      <c r="AB25" s="94"/>
      <c r="AC25" s="28"/>
    </row>
    <row r="26" spans="1:42" ht="12.75" customHeight="1">
      <c r="A26" s="91"/>
      <c r="B26" s="101" t="str">
        <f>IF(I26&gt;0,"Salário família:","")</f>
        <v/>
      </c>
      <c r="C26" s="101"/>
      <c r="D26" s="101"/>
      <c r="E26" s="101"/>
      <c r="F26" s="101"/>
      <c r="G26" s="101"/>
      <c r="H26" s="101"/>
      <c r="I26" s="614">
        <f>SUM(AG46:AG47)</f>
        <v>0</v>
      </c>
      <c r="J26" s="614"/>
      <c r="K26" s="614"/>
      <c r="L26" s="614"/>
      <c r="M26" s="108"/>
      <c r="N26" s="108"/>
      <c r="O26" s="121"/>
      <c r="P26" s="122"/>
      <c r="Q26" s="120"/>
      <c r="R26" s="120" t="str">
        <f>IF(X26&gt;0,"IRPF 13º:","")</f>
        <v/>
      </c>
      <c r="S26" s="120"/>
      <c r="T26" s="120"/>
      <c r="U26" s="120"/>
      <c r="V26" s="120"/>
      <c r="W26" s="120"/>
      <c r="X26" s="617">
        <f>SUM(AI31:AI34)</f>
        <v>0</v>
      </c>
      <c r="Y26" s="617"/>
      <c r="Z26" s="617"/>
      <c r="AA26" s="617"/>
      <c r="AB26" s="101"/>
      <c r="AC26" s="27"/>
      <c r="AD26" s="4" t="s">
        <v>19</v>
      </c>
      <c r="AM26" s="16"/>
      <c r="AP26" s="16"/>
    </row>
    <row r="27" spans="1:42" ht="6" customHeight="1">
      <c r="A27" s="91"/>
      <c r="B27" s="101"/>
      <c r="C27" s="101"/>
      <c r="D27" s="101"/>
      <c r="E27" s="101"/>
      <c r="F27" s="101"/>
      <c r="G27" s="101"/>
      <c r="H27" s="101"/>
      <c r="I27" s="466"/>
      <c r="J27" s="466"/>
      <c r="K27" s="466"/>
      <c r="L27" s="466"/>
      <c r="M27" s="108"/>
      <c r="N27" s="108"/>
      <c r="O27" s="121"/>
      <c r="P27" s="122"/>
      <c r="Q27" s="120"/>
      <c r="R27" s="120"/>
      <c r="S27" s="120"/>
      <c r="T27" s="120"/>
      <c r="U27" s="120"/>
      <c r="V27" s="120"/>
      <c r="W27" s="120"/>
      <c r="X27" s="467"/>
      <c r="Y27" s="467"/>
      <c r="Z27" s="467"/>
      <c r="AA27" s="467"/>
      <c r="AB27" s="101"/>
      <c r="AC27" s="27"/>
      <c r="AM27" s="16"/>
      <c r="AP27" s="16"/>
    </row>
    <row r="28" spans="1:42" ht="12.75" customHeight="1">
      <c r="A28" s="91"/>
      <c r="B28" s="101"/>
      <c r="C28" s="101"/>
      <c r="D28" s="101"/>
      <c r="E28" s="101"/>
      <c r="F28" s="101"/>
      <c r="G28" s="101"/>
      <c r="H28" s="101"/>
      <c r="I28" s="466"/>
      <c r="J28" s="466"/>
      <c r="K28" s="466"/>
      <c r="L28" s="466"/>
      <c r="M28" s="108"/>
      <c r="N28" s="108"/>
      <c r="O28" s="121"/>
      <c r="P28" s="122"/>
      <c r="Q28" s="120"/>
      <c r="R28" s="120" t="str">
        <f>IF(X28=0,"","Adiantamentos")</f>
        <v/>
      </c>
      <c r="S28" s="120"/>
      <c r="T28" s="120"/>
      <c r="U28" s="120"/>
      <c r="V28" s="120"/>
      <c r="W28" s="120"/>
      <c r="X28" s="622">
        <f>masc_termino!S18</f>
        <v>0</v>
      </c>
      <c r="Y28" s="622"/>
      <c r="Z28" s="622"/>
      <c r="AA28" s="622"/>
      <c r="AB28" s="101"/>
      <c r="AC28" s="27"/>
      <c r="AM28" s="16"/>
      <c r="AP28" s="16"/>
    </row>
    <row r="29" spans="1:42" ht="6" customHeight="1">
      <c r="A29" s="91"/>
      <c r="B29" s="101"/>
      <c r="C29" s="101"/>
      <c r="D29" s="101"/>
      <c r="E29" s="101"/>
      <c r="F29" s="101"/>
      <c r="G29" s="101"/>
      <c r="H29" s="101"/>
      <c r="I29" s="102"/>
      <c r="J29" s="102"/>
      <c r="K29" s="102"/>
      <c r="L29" s="102"/>
      <c r="M29" s="101"/>
      <c r="N29" s="101"/>
      <c r="O29" s="101"/>
      <c r="P29" s="120"/>
      <c r="Q29" s="120"/>
      <c r="R29" s="120"/>
      <c r="S29" s="120"/>
      <c r="T29" s="120"/>
      <c r="U29" s="120"/>
      <c r="V29" s="120"/>
      <c r="W29" s="120"/>
      <c r="X29" s="104"/>
      <c r="Y29" s="104"/>
      <c r="Z29" s="104"/>
      <c r="AA29" s="104"/>
      <c r="AB29" s="94"/>
      <c r="AC29" s="28"/>
      <c r="AE29" s="4" t="s">
        <v>22</v>
      </c>
      <c r="AF29" s="4" t="s">
        <v>20</v>
      </c>
      <c r="AG29" s="4" t="s">
        <v>21</v>
      </c>
      <c r="AH29" s="16" t="s">
        <v>28</v>
      </c>
      <c r="AI29" s="16" t="s">
        <v>29</v>
      </c>
      <c r="AL29" s="18"/>
      <c r="AO29" s="16"/>
    </row>
    <row r="30" spans="1:42" ht="17.25" customHeight="1">
      <c r="A30" s="91"/>
      <c r="M30" s="108"/>
      <c r="N30" s="108"/>
      <c r="O30" s="108"/>
      <c r="P30" s="108"/>
      <c r="Q30" s="120"/>
      <c r="R30" s="120" t="str">
        <f>IF(X30&gt;0,"IRPF Salário:","")</f>
        <v/>
      </c>
      <c r="S30" s="120"/>
      <c r="T30" s="120"/>
      <c r="U30" s="120"/>
      <c r="V30" s="120"/>
      <c r="W30" s="120"/>
      <c r="X30" s="617">
        <f>SUM(AH31:AH34)</f>
        <v>0</v>
      </c>
      <c r="Y30" s="617"/>
      <c r="Z30" s="617"/>
      <c r="AA30" s="617"/>
      <c r="AB30" s="101"/>
      <c r="AC30" s="27"/>
      <c r="AD30" s="17">
        <f>config!F60</f>
        <v>1903.98</v>
      </c>
      <c r="AE30" s="17">
        <f>AD30</f>
        <v>1903.98</v>
      </c>
      <c r="AF30" s="4">
        <f>config!M60</f>
        <v>0</v>
      </c>
      <c r="AG30" s="16">
        <f>config!P60</f>
        <v>0</v>
      </c>
      <c r="AH30" s="16"/>
      <c r="AK30" s="17"/>
      <c r="AL30" s="17"/>
      <c r="AM30" s="18"/>
      <c r="AO30" s="17"/>
      <c r="AP30" s="18"/>
    </row>
    <row r="31" spans="1:42" ht="6" customHeight="1">
      <c r="A31" s="91"/>
      <c r="B31" s="101"/>
      <c r="C31" s="101"/>
      <c r="D31" s="101"/>
      <c r="E31" s="101"/>
      <c r="F31" s="101"/>
      <c r="G31" s="101"/>
      <c r="H31" s="101"/>
      <c r="I31" s="102"/>
      <c r="J31" s="102"/>
      <c r="K31" s="102"/>
      <c r="L31" s="102"/>
      <c r="M31" s="101"/>
      <c r="N31" s="101"/>
      <c r="O31" s="101"/>
      <c r="P31" s="120"/>
      <c r="Q31" s="120"/>
      <c r="R31" s="120"/>
      <c r="S31" s="120"/>
      <c r="T31" s="120"/>
      <c r="U31" s="120"/>
      <c r="V31" s="120"/>
      <c r="W31" s="120"/>
      <c r="X31" s="104"/>
      <c r="Y31" s="104"/>
      <c r="Z31" s="104"/>
      <c r="AA31" s="104"/>
      <c r="AB31" s="94"/>
      <c r="AC31" s="28"/>
      <c r="AD31" s="17">
        <f>config!J61</f>
        <v>2826.65</v>
      </c>
      <c r="AE31" s="17">
        <f>AD31</f>
        <v>2826.65</v>
      </c>
      <c r="AF31" s="19">
        <f>config!M61</f>
        <v>7.4999999999999997E-2</v>
      </c>
      <c r="AG31" s="20">
        <f>config!P61</f>
        <v>142.80000000000001</v>
      </c>
      <c r="AH31" s="18">
        <f>IF($AE$36&gt;$AD30,IF($AE$36&lt;=$AE31,($AE$36*$AF31)-$AG31,0),0)</f>
        <v>0</v>
      </c>
      <c r="AI31" s="18">
        <f>IF($AE$37&gt;$AD30,IF($AE$37&lt;=$AE31,($AE$37*$AF31)-$AG31,0),0)</f>
        <v>0</v>
      </c>
      <c r="AK31" s="17"/>
      <c r="AL31" s="18"/>
      <c r="AN31" s="17"/>
      <c r="AO31" s="18"/>
    </row>
    <row r="32" spans="1:42" ht="15" customHeight="1">
      <c r="A32" s="91"/>
      <c r="B32" s="113" t="s">
        <v>47</v>
      </c>
      <c r="C32" s="114"/>
      <c r="D32" s="114"/>
      <c r="E32" s="114"/>
      <c r="F32" s="114"/>
      <c r="G32" s="114"/>
      <c r="H32" s="618">
        <f>SUM(I18:L29)</f>
        <v>0</v>
      </c>
      <c r="I32" s="618"/>
      <c r="J32" s="618"/>
      <c r="K32" s="618"/>
      <c r="L32" s="619"/>
      <c r="M32" s="108"/>
      <c r="N32" s="108"/>
      <c r="O32" s="108"/>
      <c r="P32" s="123"/>
      <c r="Q32" s="124"/>
      <c r="R32" s="632" t="s">
        <v>1</v>
      </c>
      <c r="S32" s="633"/>
      <c r="T32" s="633"/>
      <c r="U32" s="633"/>
      <c r="V32" s="633"/>
      <c r="W32" s="634">
        <f>SUM(X20:AA30)</f>
        <v>0</v>
      </c>
      <c r="X32" s="635"/>
      <c r="Y32" s="635"/>
      <c r="Z32" s="635"/>
      <c r="AA32" s="636"/>
      <c r="AB32" s="94"/>
      <c r="AC32" s="28"/>
      <c r="AD32" s="17">
        <f>config!J62</f>
        <v>3751.05</v>
      </c>
      <c r="AE32" s="17">
        <f>AD32</f>
        <v>3751.05</v>
      </c>
      <c r="AF32" s="21">
        <f>config!M62</f>
        <v>0.15</v>
      </c>
      <c r="AG32" s="20">
        <f>config!P62</f>
        <v>354.8</v>
      </c>
      <c r="AH32" s="18">
        <f>IF(AE36&gt;AE31,IF(AE36&lt;=AE32,(AE36*AF32)-AG32,0),0)</f>
        <v>0</v>
      </c>
      <c r="AI32" s="18">
        <f>IF($AE$37&gt;$AD31,IF($AE$37&lt;=$AE32,($AE$37*$AF32)-$AG32,0),0)</f>
        <v>0</v>
      </c>
      <c r="AK32" s="17"/>
      <c r="AL32" s="17"/>
      <c r="AM32" s="18"/>
      <c r="AO32" s="17"/>
      <c r="AP32" s="18"/>
    </row>
    <row r="33" spans="1:41" ht="23.25" customHeight="1" thickBot="1">
      <c r="A33" s="91"/>
      <c r="B33" s="109"/>
      <c r="C33" s="109"/>
      <c r="D33" s="109"/>
      <c r="E33" s="109"/>
      <c r="F33" s="109"/>
      <c r="G33" s="109"/>
      <c r="H33" s="109"/>
      <c r="I33" s="102"/>
      <c r="J33" s="102"/>
      <c r="K33" s="102"/>
      <c r="L33" s="102"/>
      <c r="M33" s="108"/>
      <c r="N33" s="108"/>
      <c r="O33" s="108"/>
      <c r="P33" s="123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94"/>
      <c r="AC33" s="28"/>
      <c r="AD33" s="17">
        <f>config!J63</f>
        <v>4664.68</v>
      </c>
      <c r="AE33" s="17">
        <f>AD33</f>
        <v>4664.68</v>
      </c>
      <c r="AF33" s="19">
        <f>config!M63</f>
        <v>0.22500000000000001</v>
      </c>
      <c r="AG33" s="20">
        <f>config!P63</f>
        <v>636.13</v>
      </c>
      <c r="AH33" s="18">
        <f>IF($AE$36&gt;$AD32,IF($AE$36&lt;=$AE33,($AE$36*$AF33)-$AG33,0),0)</f>
        <v>0</v>
      </c>
      <c r="AI33" s="18">
        <f>IF($AE$37&gt;$AD32,IF($AE$37&lt;=$AE33,($AE$37*$AF33)-$AG33,0),0)</f>
        <v>0</v>
      </c>
      <c r="AK33" s="17"/>
      <c r="AL33" s="18"/>
      <c r="AN33" s="17"/>
      <c r="AO33" s="18"/>
    </row>
    <row r="34" spans="1:41" ht="21.75" customHeight="1" thickBot="1">
      <c r="A34" s="91"/>
      <c r="B34" s="109"/>
      <c r="C34" s="109"/>
      <c r="D34" s="109"/>
      <c r="E34" s="109"/>
      <c r="F34" s="109"/>
      <c r="G34" s="109"/>
      <c r="H34" s="116" t="s">
        <v>46</v>
      </c>
      <c r="I34" s="117"/>
      <c r="J34" s="117"/>
      <c r="K34" s="117"/>
      <c r="L34" s="117"/>
      <c r="M34" s="117"/>
      <c r="N34" s="625">
        <f>IF(H32&gt;W32,H32-W32,0)</f>
        <v>0</v>
      </c>
      <c r="O34" s="625"/>
      <c r="P34" s="625"/>
      <c r="Q34" s="626"/>
      <c r="AB34" s="107"/>
      <c r="AC34" s="28"/>
      <c r="AD34" s="4" t="s">
        <v>23</v>
      </c>
      <c r="AE34" s="19"/>
      <c r="AF34" s="19">
        <f>config!M64</f>
        <v>0.27500000000000002</v>
      </c>
      <c r="AG34" s="20">
        <f>config!P64</f>
        <v>869.36</v>
      </c>
      <c r="AH34" s="18">
        <f>IF($AE36&gt;$AE33,($AE36*$AF34)-$AG34,0)</f>
        <v>0</v>
      </c>
      <c r="AI34" s="17">
        <f>IF(AE37&gt;AE33,(AE37*AF34)-AG34,0)</f>
        <v>0</v>
      </c>
      <c r="AK34" s="17"/>
    </row>
    <row r="35" spans="1:41" ht="6" customHeight="1" thickBot="1">
      <c r="A35" s="91"/>
      <c r="B35" s="109"/>
      <c r="C35" s="109"/>
      <c r="D35" s="109"/>
      <c r="E35" s="109"/>
      <c r="F35" s="109"/>
      <c r="G35" s="109" t="s">
        <v>202</v>
      </c>
      <c r="H35" s="397"/>
      <c r="I35" s="397"/>
      <c r="J35" s="397"/>
      <c r="K35" s="397"/>
      <c r="L35" s="397"/>
      <c r="M35" s="397"/>
      <c r="N35" s="398"/>
      <c r="O35" s="398"/>
      <c r="P35" s="398"/>
      <c r="Q35" s="398"/>
      <c r="AB35" s="107"/>
      <c r="AC35" s="28"/>
      <c r="AD35" s="4" t="s">
        <v>27</v>
      </c>
      <c r="AE35" s="17">
        <f>config!K66</f>
        <v>189.59</v>
      </c>
      <c r="AF35" s="22">
        <f>AE35*X14</f>
        <v>0</v>
      </c>
    </row>
    <row r="36" spans="1:41" ht="23.25" customHeight="1" thickBot="1">
      <c r="A36" s="91"/>
      <c r="B36" s="109"/>
      <c r="C36" s="109"/>
      <c r="D36" s="109"/>
      <c r="E36" s="109"/>
      <c r="F36" s="109"/>
      <c r="G36" s="109"/>
      <c r="H36" s="116" t="s">
        <v>201</v>
      </c>
      <c r="I36" s="117"/>
      <c r="J36" s="117"/>
      <c r="K36" s="117"/>
      <c r="L36" s="117"/>
      <c r="M36" s="117"/>
      <c r="N36" s="620">
        <f>((U10/30)*masc_termino!N12)*8%</f>
        <v>0</v>
      </c>
      <c r="O36" s="620"/>
      <c r="P36" s="620"/>
      <c r="Q36" s="621"/>
      <c r="AB36" s="107"/>
      <c r="AC36" s="28"/>
      <c r="AD36" s="4" t="s">
        <v>25</v>
      </c>
      <c r="AE36" s="23">
        <f>I18-X20-AF35</f>
        <v>0</v>
      </c>
    </row>
    <row r="37" spans="1:41" ht="6" customHeight="1">
      <c r="A37" s="91"/>
      <c r="B37" s="109"/>
      <c r="C37" s="109"/>
      <c r="D37" s="109"/>
      <c r="E37" s="109"/>
      <c r="F37" s="109"/>
      <c r="G37" s="109"/>
      <c r="H37" s="109"/>
      <c r="I37" s="110"/>
      <c r="J37" s="111"/>
      <c r="K37" s="111"/>
      <c r="L37" s="111"/>
      <c r="M37" s="109"/>
      <c r="N37" s="109"/>
      <c r="O37" s="109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4"/>
      <c r="AB37" s="107"/>
      <c r="AC37" s="28"/>
      <c r="AD37" s="4" t="s">
        <v>26</v>
      </c>
      <c r="AE37" s="24">
        <f>(I20+I38)-X22-AF35</f>
        <v>0</v>
      </c>
    </row>
    <row r="38" spans="1:41" ht="12.75" customHeight="1">
      <c r="A38" s="91"/>
      <c r="B38" s="109"/>
      <c r="C38" s="109"/>
      <c r="D38" s="109"/>
      <c r="E38" s="109"/>
      <c r="F38" s="109"/>
      <c r="G38" s="109"/>
      <c r="H38" s="109"/>
      <c r="I38" s="614"/>
      <c r="J38" s="614"/>
      <c r="K38" s="614"/>
      <c r="L38" s="614"/>
      <c r="M38" s="109"/>
      <c r="N38" s="109"/>
      <c r="O38" s="109"/>
      <c r="P38" s="124"/>
      <c r="Q38" s="123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07"/>
      <c r="AC38" s="28"/>
    </row>
    <row r="39" spans="1:41" ht="6" customHeight="1">
      <c r="A39" s="108"/>
      <c r="B39" s="627" t="str">
        <f>config!E110</f>
        <v>Os cálculos contidos na planilha são baseados em dados referenciados, porém ainda sim podem estar incorretos. Sendo assim, os mesmos devem ser utilizados apenas como referência.</v>
      </c>
      <c r="C39" s="627"/>
      <c r="D39" s="627"/>
      <c r="E39" s="627"/>
      <c r="F39" s="627"/>
      <c r="G39" s="627"/>
      <c r="H39" s="627"/>
      <c r="I39" s="627"/>
      <c r="J39" s="627"/>
      <c r="K39" s="627"/>
      <c r="L39" s="627"/>
      <c r="M39" s="627"/>
      <c r="N39" s="627"/>
      <c r="O39" s="627"/>
      <c r="P39" s="627"/>
      <c r="Q39" s="627"/>
      <c r="R39" s="627"/>
      <c r="S39" s="627"/>
      <c r="T39" s="627"/>
      <c r="U39" s="627"/>
      <c r="V39" s="627"/>
      <c r="W39" s="627"/>
      <c r="X39" s="627"/>
      <c r="Y39" s="627"/>
      <c r="Z39" s="627"/>
      <c r="AA39" s="627"/>
      <c r="AB39" s="107"/>
      <c r="AC39" s="28"/>
    </row>
    <row r="40" spans="1:41" ht="12.75" customHeight="1">
      <c r="A40" s="108"/>
      <c r="B40" s="627"/>
      <c r="C40" s="627"/>
      <c r="D40" s="627"/>
      <c r="E40" s="627"/>
      <c r="F40" s="627"/>
      <c r="G40" s="627"/>
      <c r="H40" s="627"/>
      <c r="I40" s="627"/>
      <c r="J40" s="627"/>
      <c r="K40" s="627"/>
      <c r="L40" s="627"/>
      <c r="M40" s="627"/>
      <c r="N40" s="627"/>
      <c r="O40" s="627"/>
      <c r="P40" s="627"/>
      <c r="Q40" s="627"/>
      <c r="R40" s="627"/>
      <c r="S40" s="627"/>
      <c r="T40" s="627"/>
      <c r="U40" s="627"/>
      <c r="V40" s="627"/>
      <c r="W40" s="627"/>
      <c r="X40" s="627"/>
      <c r="Y40" s="627"/>
      <c r="Z40" s="627"/>
      <c r="AA40" s="627"/>
      <c r="AB40" s="107"/>
      <c r="AC40" s="28"/>
      <c r="AD40" s="4" t="s">
        <v>38</v>
      </c>
      <c r="AE40" s="4" t="s">
        <v>35</v>
      </c>
    </row>
    <row r="41" spans="1:41" ht="6" customHeight="1">
      <c r="A41" s="108"/>
      <c r="B41" s="627"/>
      <c r="C41" s="627"/>
      <c r="D41" s="627"/>
      <c r="E41" s="627"/>
      <c r="F41" s="627"/>
      <c r="G41" s="627"/>
      <c r="H41" s="627"/>
      <c r="I41" s="627"/>
      <c r="J41" s="627"/>
      <c r="K41" s="627"/>
      <c r="L41" s="627"/>
      <c r="M41" s="627"/>
      <c r="N41" s="627"/>
      <c r="O41" s="627"/>
      <c r="P41" s="627"/>
      <c r="Q41" s="627"/>
      <c r="R41" s="627"/>
      <c r="S41" s="627"/>
      <c r="T41" s="627"/>
      <c r="U41" s="627"/>
      <c r="V41" s="627"/>
      <c r="W41" s="627"/>
      <c r="X41" s="627"/>
      <c r="Y41" s="627"/>
      <c r="Z41" s="627"/>
      <c r="AA41" s="627"/>
      <c r="AB41" s="107"/>
      <c r="AC41" s="28"/>
      <c r="AD41" s="4" t="s">
        <v>30</v>
      </c>
      <c r="AE41" s="4" t="s">
        <v>83</v>
      </c>
    </row>
    <row r="42" spans="1:41" ht="16.5" customHeight="1">
      <c r="A42" s="108"/>
      <c r="B42" s="108"/>
      <c r="C42" s="108"/>
      <c r="D42" s="108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94"/>
      <c r="AC42" s="27"/>
      <c r="AD42" s="4" t="s">
        <v>31</v>
      </c>
      <c r="AE42" s="4" t="s">
        <v>84</v>
      </c>
    </row>
    <row r="43" spans="1:41" ht="6" customHeight="1">
      <c r="A43" s="108"/>
      <c r="B43" s="108"/>
      <c r="C43" s="108"/>
      <c r="D43" s="108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94"/>
      <c r="AC43" s="33"/>
    </row>
    <row r="44" spans="1:41" ht="9" customHeight="1">
      <c r="A44" s="108"/>
      <c r="B44" s="108"/>
      <c r="C44" s="108"/>
      <c r="D44" s="108"/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94"/>
      <c r="AC44" s="33"/>
      <c r="AD44" s="616" t="s">
        <v>41</v>
      </c>
      <c r="AE44" s="616" t="s">
        <v>40</v>
      </c>
    </row>
    <row r="45" spans="1:41" ht="15" customHeight="1">
      <c r="A45" s="108"/>
      <c r="B45" s="109"/>
      <c r="C45" s="109"/>
      <c r="D45" s="109"/>
      <c r="E45" s="109"/>
      <c r="F45" s="109"/>
      <c r="G45" s="109"/>
      <c r="H45" s="109"/>
      <c r="I45" s="125"/>
      <c r="J45" s="125"/>
      <c r="K45" s="125"/>
      <c r="L45" s="125"/>
      <c r="M45" s="109"/>
      <c r="N45" s="109"/>
      <c r="O45" s="109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94"/>
      <c r="AC45" s="41"/>
      <c r="AD45" s="616"/>
      <c r="AE45" s="616"/>
      <c r="AF45" s="4" t="s">
        <v>44</v>
      </c>
      <c r="AG45" s="4" t="s">
        <v>45</v>
      </c>
    </row>
    <row r="46" spans="1:41" ht="23.25" customHeight="1">
      <c r="A46" s="108"/>
      <c r="B46" s="108"/>
      <c r="C46" s="108"/>
      <c r="D46" s="108"/>
      <c r="E46" s="108"/>
      <c r="F46" s="108"/>
      <c r="G46" s="108"/>
      <c r="H46" s="108"/>
      <c r="I46" s="108"/>
      <c r="J46" s="108"/>
      <c r="K46" s="108"/>
      <c r="L46" s="108"/>
      <c r="M46" s="126"/>
      <c r="N46" s="107"/>
      <c r="O46" s="107"/>
      <c r="P46" s="107"/>
      <c r="Q46" s="107"/>
      <c r="R46" s="108"/>
      <c r="S46" s="108"/>
      <c r="T46" s="108"/>
      <c r="U46" s="108"/>
      <c r="V46" s="108"/>
      <c r="W46" s="108"/>
      <c r="X46" s="108"/>
      <c r="Y46" s="108"/>
      <c r="Z46" s="108"/>
      <c r="AA46" s="108"/>
      <c r="AB46" s="115"/>
      <c r="AC46" s="38"/>
      <c r="AD46" s="25">
        <f>config!F90</f>
        <v>859.88</v>
      </c>
      <c r="AE46" s="26">
        <f>config!I90</f>
        <v>44.09</v>
      </c>
      <c r="AF46" s="4">
        <f>IF(U10&lt;=AD46,Z14*AE46,0)</f>
        <v>0</v>
      </c>
      <c r="AG46" s="16">
        <f>(AF46/30)*F18</f>
        <v>0</v>
      </c>
    </row>
    <row r="47" spans="1:41" ht="16.5" customHeight="1">
      <c r="A47" s="118" t="str">
        <f>config!P104</f>
        <v>www.fecomerciarios.org.br</v>
      </c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67" t="str">
        <f>config!G105</f>
        <v>fecomerciarios@fecomerciarios.org.br</v>
      </c>
      <c r="AB47" s="115"/>
      <c r="AC47" s="38"/>
      <c r="AD47" s="25">
        <f>config!F91</f>
        <v>1292.43</v>
      </c>
      <c r="AE47" s="26">
        <f>config!I91</f>
        <v>31.07</v>
      </c>
      <c r="AF47" s="4">
        <f>IF(U10&gt;AD46,IF(U10&lt;=AD47,Z14*AE47,0),0)</f>
        <v>0</v>
      </c>
      <c r="AG47" s="16">
        <f>(AF47/30)*F18</f>
        <v>0</v>
      </c>
    </row>
    <row r="48" spans="1:41" ht="15" hidden="1">
      <c r="A48" s="38"/>
      <c r="B48" s="623"/>
      <c r="C48" s="623"/>
      <c r="D48" s="623"/>
      <c r="E48" s="623"/>
      <c r="F48" s="623"/>
      <c r="G48" s="623"/>
      <c r="H48" s="623"/>
      <c r="I48" s="623"/>
      <c r="J48" s="623"/>
      <c r="K48" s="623"/>
      <c r="L48" s="623"/>
      <c r="M48" s="623"/>
      <c r="N48" s="623"/>
      <c r="O48" s="623"/>
      <c r="P48" s="623"/>
      <c r="Q48" s="39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25"/>
      <c r="AE48" s="25"/>
    </row>
    <row r="49" spans="1:29" ht="15" hidden="1">
      <c r="A49" s="38"/>
      <c r="B49" s="623"/>
      <c r="C49" s="623"/>
      <c r="D49" s="623"/>
      <c r="E49" s="623"/>
      <c r="F49" s="623"/>
      <c r="G49" s="623"/>
      <c r="H49" s="623"/>
      <c r="I49" s="623"/>
      <c r="J49" s="623"/>
      <c r="K49" s="623"/>
      <c r="L49" s="623"/>
      <c r="M49" s="623"/>
      <c r="N49" s="623"/>
      <c r="O49" s="623"/>
      <c r="P49" s="623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8"/>
      <c r="AC49" s="38"/>
    </row>
    <row r="50" spans="1:29" hidden="1"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</row>
    <row r="51" spans="1:29" hidden="1"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</row>
    <row r="52" spans="1:29" hidden="1"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</row>
    <row r="53" spans="1:29" ht="15" hidden="1">
      <c r="A53" s="38"/>
      <c r="B53" s="38"/>
      <c r="C53" s="38"/>
      <c r="D53" s="38"/>
      <c r="E53" s="38"/>
      <c r="F53" s="38"/>
      <c r="G53" s="38"/>
      <c r="H53" s="40"/>
      <c r="I53" s="40"/>
      <c r="J53" s="40"/>
      <c r="K53" s="40"/>
      <c r="L53" s="40"/>
      <c r="M53" s="40"/>
      <c r="N53" s="40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</row>
    <row r="54" spans="1:29" hidden="1">
      <c r="A54" s="38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</row>
    <row r="55" spans="1:29" hidden="1">
      <c r="A55" s="38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</row>
    <row r="56" spans="1:29" hidden="1">
      <c r="A56" s="38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</row>
    <row r="57" spans="1:29" hidden="1">
      <c r="A57" s="38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</row>
    <row r="58" spans="1:29" hidden="1">
      <c r="A58" s="38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</row>
    <row r="59" spans="1:29" hidden="1">
      <c r="A59" s="38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</row>
    <row r="60" spans="1:29" hidden="1"/>
  </sheetData>
  <sheetProtection password="C1FF" sheet="1" objects="1" scenarios="1" selectLockedCells="1" selectUnlockedCells="1"/>
  <mergeCells count="37">
    <mergeCell ref="B48:P49"/>
    <mergeCell ref="B8:AA8"/>
    <mergeCell ref="I38:L38"/>
    <mergeCell ref="N34:Q34"/>
    <mergeCell ref="B39:AA41"/>
    <mergeCell ref="E20:F20"/>
    <mergeCell ref="I20:L20"/>
    <mergeCell ref="M20:N20"/>
    <mergeCell ref="X20:AA20"/>
    <mergeCell ref="B14:L14"/>
    <mergeCell ref="I22:L22"/>
    <mergeCell ref="X22:AA22"/>
    <mergeCell ref="I24:L24"/>
    <mergeCell ref="X24:AA24"/>
    <mergeCell ref="R32:V32"/>
    <mergeCell ref="W32:AA32"/>
    <mergeCell ref="F18:G18"/>
    <mergeCell ref="I18:L18"/>
    <mergeCell ref="R18:AA18"/>
    <mergeCell ref="AE44:AE45"/>
    <mergeCell ref="I26:L26"/>
    <mergeCell ref="X26:AA26"/>
    <mergeCell ref="H32:L32"/>
    <mergeCell ref="X30:AA30"/>
    <mergeCell ref="AD44:AD45"/>
    <mergeCell ref="N36:Q36"/>
    <mergeCell ref="X28:AA28"/>
    <mergeCell ref="S11:AA11"/>
    <mergeCell ref="U10:Z10"/>
    <mergeCell ref="M14:N14"/>
    <mergeCell ref="P14:Y14"/>
    <mergeCell ref="Z14:AA14"/>
    <mergeCell ref="G3:AA3"/>
    <mergeCell ref="B5:AA5"/>
    <mergeCell ref="B6:AA6"/>
    <mergeCell ref="E10:I10"/>
    <mergeCell ref="M10:P10"/>
  </mergeCells>
  <conditionalFormatting sqref="I26:L28 I19:L19 I33:L33 I37:L38">
    <cfRule type="cellIs" dxfId="12" priority="4" stopIfTrue="1" operator="notEqual">
      <formula>0</formula>
    </cfRule>
  </conditionalFormatting>
  <conditionalFormatting sqref="M20:N20">
    <cfRule type="cellIs" dxfId="11" priority="3" stopIfTrue="1" operator="notEqual">
      <formula>0</formula>
    </cfRule>
  </conditionalFormatting>
  <conditionalFormatting sqref="X37:AA37 I18:L29 X33:AA33 I31:L31 X20:AA31">
    <cfRule type="cellIs" dxfId="10" priority="2" stopIfTrue="1" operator="notEqual">
      <formula>0</formula>
    </cfRule>
  </conditionalFormatting>
  <conditionalFormatting sqref="E20:F20">
    <cfRule type="cellIs" dxfId="9" priority="1" stopIfTrue="1" operator="notEqual">
      <formula>0</formula>
    </cfRule>
  </conditionalFormatting>
  <pageMargins left="0.3" right="0.51181102362204722" top="0.78740157480314965" bottom="0.78740157480314965" header="0.31496062992125984" footer="0.31496062992125984"/>
  <pageSetup paperSize="9" scale="98" orientation="portrait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>
    <pageSetUpPr fitToPage="1"/>
  </sheetPr>
  <dimension ref="A1:W24"/>
  <sheetViews>
    <sheetView showGridLines="0" showRowColHeaders="0" workbookViewId="0">
      <selection activeCell="M6" sqref="M6:S6"/>
    </sheetView>
  </sheetViews>
  <sheetFormatPr defaultColWidth="0" defaultRowHeight="18.75" customHeight="1" zeroHeight="1"/>
  <cols>
    <col min="1" max="14" width="5" style="2" customWidth="1"/>
    <col min="15" max="15" width="3" style="2" customWidth="1"/>
    <col min="16" max="16" width="3.140625" style="2" customWidth="1"/>
    <col min="17" max="17" width="5" style="2" customWidth="1"/>
    <col min="18" max="18" width="9.7109375" style="2" customWidth="1"/>
    <col min="19" max="19" width="22.85546875" style="2" customWidth="1"/>
    <col min="20" max="20" width="8.5703125" style="2" customWidth="1"/>
    <col min="21" max="21" width="37.5703125" style="2" hidden="1" customWidth="1"/>
    <col min="22" max="22" width="10.42578125" style="2" hidden="1" customWidth="1"/>
    <col min="23" max="23" width="48.85546875" style="2" hidden="1" customWidth="1"/>
    <col min="24" max="16384" width="9.140625" style="2" hidden="1"/>
  </cols>
  <sheetData>
    <row r="1" spans="1:23">
      <c r="A1" s="79"/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642" t="s">
        <v>132</v>
      </c>
      <c r="O1" s="642"/>
      <c r="P1" s="642"/>
      <c r="Q1" s="642"/>
      <c r="R1" s="642"/>
      <c r="S1" s="642"/>
      <c r="T1" s="79"/>
      <c r="V1" s="1"/>
      <c r="W1" s="1"/>
    </row>
    <row r="2" spans="1:23">
      <c r="A2" s="79"/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642"/>
      <c r="O2" s="642"/>
      <c r="P2" s="642"/>
      <c r="Q2" s="642"/>
      <c r="R2" s="642"/>
      <c r="S2" s="642"/>
      <c r="T2" s="79"/>
      <c r="V2" s="1"/>
      <c r="W2" s="1" t="s">
        <v>144</v>
      </c>
    </row>
    <row r="3" spans="1:23" ht="26.25">
      <c r="A3" s="79"/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643" t="str">
        <f>config!I101</f>
        <v>FECOMERCIÁRIOS</v>
      </c>
      <c r="O3" s="643"/>
      <c r="P3" s="643"/>
      <c r="Q3" s="643"/>
      <c r="R3" s="643"/>
      <c r="S3" s="643"/>
      <c r="T3" s="79"/>
      <c r="V3" s="1"/>
      <c r="W3" s="1" t="s">
        <v>145</v>
      </c>
    </row>
    <row r="4" spans="1:23" ht="4.5" customHeight="1">
      <c r="A4" s="79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79"/>
    </row>
    <row r="5" spans="1:23" ht="9" customHeight="1">
      <c r="A5" s="638"/>
      <c r="B5" s="638"/>
      <c r="C5" s="638"/>
      <c r="D5" s="638"/>
      <c r="E5" s="638"/>
      <c r="F5" s="638"/>
      <c r="G5" s="638"/>
      <c r="H5" s="638"/>
      <c r="I5" s="638"/>
      <c r="J5" s="638"/>
      <c r="K5" s="638"/>
      <c r="L5" s="638"/>
      <c r="M5" s="638"/>
      <c r="N5" s="638"/>
      <c r="O5" s="638"/>
      <c r="P5" s="638"/>
      <c r="Q5" s="638"/>
      <c r="R5" s="638"/>
      <c r="S5" s="638"/>
      <c r="T5" s="638"/>
    </row>
    <row r="6" spans="1:23">
      <c r="A6" s="79"/>
      <c r="B6" s="641" t="s">
        <v>88</v>
      </c>
      <c r="C6" s="641"/>
      <c r="D6" s="641"/>
      <c r="E6" s="641"/>
      <c r="F6" s="641"/>
      <c r="G6" s="641"/>
      <c r="H6" s="641"/>
      <c r="I6" s="641"/>
      <c r="J6" s="641"/>
      <c r="K6" s="641"/>
      <c r="L6" s="641"/>
      <c r="M6" s="595"/>
      <c r="N6" s="595"/>
      <c r="O6" s="595"/>
      <c r="P6" s="595"/>
      <c r="Q6" s="595"/>
      <c r="R6" s="595"/>
      <c r="S6" s="595"/>
      <c r="T6" s="79"/>
    </row>
    <row r="7" spans="1:23" ht="7.5" customHeight="1">
      <c r="A7" s="638"/>
      <c r="B7" s="638"/>
      <c r="C7" s="638"/>
      <c r="D7" s="638"/>
      <c r="E7" s="638"/>
      <c r="F7" s="638"/>
      <c r="G7" s="638"/>
      <c r="H7" s="638"/>
      <c r="I7" s="638"/>
      <c r="J7" s="638"/>
      <c r="K7" s="638"/>
      <c r="L7" s="638"/>
      <c r="M7" s="638"/>
      <c r="N7" s="638"/>
      <c r="O7" s="638"/>
      <c r="P7" s="638"/>
      <c r="Q7" s="638"/>
      <c r="R7" s="638"/>
      <c r="S7" s="638"/>
      <c r="T7" s="638"/>
    </row>
    <row r="8" spans="1:23" ht="21.75" customHeight="1">
      <c r="A8" s="79"/>
      <c r="B8" s="79"/>
      <c r="C8" s="79"/>
      <c r="D8" s="79"/>
      <c r="E8" s="79"/>
      <c r="F8" s="79"/>
      <c r="G8" s="79"/>
      <c r="H8" s="79"/>
      <c r="I8" s="641" t="s">
        <v>2</v>
      </c>
      <c r="J8" s="641"/>
      <c r="K8" s="641"/>
      <c r="L8" s="593"/>
      <c r="M8" s="593"/>
      <c r="N8" s="593"/>
      <c r="O8" s="83" t="s">
        <v>53</v>
      </c>
      <c r="P8" s="84"/>
      <c r="Q8" s="84"/>
      <c r="R8" s="84"/>
      <c r="S8" s="84"/>
      <c r="T8" s="84"/>
    </row>
    <row r="9" spans="1:23" ht="7.5" customHeight="1">
      <c r="A9" s="638"/>
      <c r="B9" s="638"/>
      <c r="C9" s="638"/>
      <c r="D9" s="638"/>
      <c r="E9" s="638"/>
      <c r="F9" s="638"/>
      <c r="G9" s="638"/>
      <c r="H9" s="638"/>
      <c r="I9" s="638"/>
      <c r="J9" s="638"/>
      <c r="K9" s="638"/>
      <c r="L9" s="638"/>
      <c r="M9" s="638"/>
      <c r="N9" s="638"/>
      <c r="O9" s="638"/>
      <c r="P9" s="638"/>
      <c r="Q9" s="638"/>
      <c r="R9" s="638"/>
      <c r="S9" s="638"/>
      <c r="T9" s="638"/>
    </row>
    <row r="10" spans="1:23" ht="21.75" customHeight="1">
      <c r="A10" s="79"/>
      <c r="B10" s="79"/>
      <c r="C10" s="79"/>
      <c r="D10" s="79"/>
      <c r="E10" s="79"/>
      <c r="F10" s="79"/>
      <c r="G10" s="79"/>
      <c r="H10" s="79"/>
      <c r="I10" s="79"/>
      <c r="J10" s="641" t="s">
        <v>3</v>
      </c>
      <c r="K10" s="641"/>
      <c r="L10" s="593"/>
      <c r="M10" s="593"/>
      <c r="N10" s="593"/>
      <c r="O10" s="85" t="s">
        <v>48</v>
      </c>
      <c r="P10" s="79"/>
      <c r="Q10" s="79"/>
      <c r="R10" s="79"/>
      <c r="S10" s="79"/>
      <c r="T10" s="79"/>
    </row>
    <row r="11" spans="1:23" ht="7.5" customHeight="1">
      <c r="A11" s="638"/>
      <c r="B11" s="638"/>
      <c r="C11" s="638"/>
      <c r="D11" s="638"/>
      <c r="E11" s="638"/>
      <c r="F11" s="638"/>
      <c r="G11" s="638"/>
      <c r="H11" s="638"/>
      <c r="I11" s="638"/>
      <c r="J11" s="638"/>
      <c r="K11" s="638"/>
      <c r="L11" s="638"/>
      <c r="M11" s="638"/>
      <c r="N11" s="638"/>
      <c r="O11" s="638"/>
      <c r="P11" s="638"/>
      <c r="Q11" s="638"/>
      <c r="R11" s="638"/>
      <c r="S11" s="638"/>
      <c r="T11" s="638"/>
    </row>
    <row r="12" spans="1:23" ht="21.75" customHeight="1">
      <c r="A12" s="79"/>
      <c r="B12" s="641" t="s">
        <v>86</v>
      </c>
      <c r="C12" s="641"/>
      <c r="D12" s="641"/>
      <c r="E12" s="641"/>
      <c r="F12" s="641"/>
      <c r="G12" s="641"/>
      <c r="H12" s="641"/>
      <c r="I12" s="641"/>
      <c r="J12" s="641"/>
      <c r="K12" s="641"/>
      <c r="L12" s="595"/>
      <c r="M12" s="595"/>
      <c r="N12" s="85" t="s">
        <v>87</v>
      </c>
      <c r="O12" s="79"/>
      <c r="P12" s="79"/>
      <c r="Q12" s="79"/>
      <c r="R12" s="90">
        <f>IF(L10&gt;L8,(L10-L8)+1,0)</f>
        <v>0</v>
      </c>
      <c r="S12" s="89" t="str">
        <f>IF(R12&gt;=1,"dias trabalhados","")</f>
        <v/>
      </c>
      <c r="T12" s="79"/>
    </row>
    <row r="13" spans="1:23" ht="7.5" customHeight="1">
      <c r="A13" s="638"/>
      <c r="B13" s="638"/>
      <c r="C13" s="638"/>
      <c r="D13" s="638"/>
      <c r="E13" s="638"/>
      <c r="F13" s="638"/>
      <c r="G13" s="638"/>
      <c r="H13" s="638"/>
      <c r="I13" s="638"/>
      <c r="J13" s="638"/>
      <c r="K13" s="638"/>
      <c r="L13" s="638"/>
      <c r="M13" s="638"/>
      <c r="N13" s="638"/>
      <c r="O13" s="638"/>
      <c r="P13" s="638"/>
      <c r="Q13" s="638"/>
      <c r="R13" s="638"/>
      <c r="S13" s="638"/>
      <c r="T13" s="638"/>
    </row>
    <row r="14" spans="1:23" ht="21.75" customHeight="1">
      <c r="A14" s="79"/>
      <c r="B14" s="79"/>
      <c r="C14" s="79"/>
      <c r="D14" s="79"/>
      <c r="E14" s="79"/>
      <c r="F14" s="79"/>
      <c r="G14" s="79"/>
      <c r="H14" s="79"/>
      <c r="I14" s="641" t="s">
        <v>61</v>
      </c>
      <c r="J14" s="641"/>
      <c r="K14" s="641"/>
      <c r="L14" s="599"/>
      <c r="M14" s="599"/>
      <c r="N14" s="599"/>
      <c r="O14" s="599"/>
      <c r="P14" s="599"/>
      <c r="Q14" s="599"/>
      <c r="R14" s="79"/>
      <c r="S14" s="86"/>
      <c r="T14" s="79"/>
    </row>
    <row r="15" spans="1:23" ht="24.75" customHeight="1">
      <c r="A15" s="638" t="str">
        <f>IF(L12&gt;0,IF(L12&lt;R12,"Datas não correspondem com o número de dias do contrato",""),"")</f>
        <v/>
      </c>
      <c r="B15" s="638"/>
      <c r="C15" s="638"/>
      <c r="D15" s="638"/>
      <c r="E15" s="638"/>
      <c r="F15" s="638"/>
      <c r="G15" s="638"/>
      <c r="H15" s="638"/>
      <c r="I15" s="638"/>
      <c r="J15" s="638"/>
      <c r="K15" s="638"/>
      <c r="L15" s="638"/>
      <c r="M15" s="638"/>
      <c r="N15" s="638"/>
      <c r="O15" s="638"/>
      <c r="P15" s="638"/>
      <c r="Q15" s="638"/>
      <c r="R15" s="638"/>
      <c r="S15" s="638"/>
      <c r="T15" s="638"/>
    </row>
    <row r="16" spans="1:23" ht="7.5" customHeight="1">
      <c r="A16" s="79"/>
      <c r="B16" s="639"/>
      <c r="C16" s="639"/>
      <c r="D16" s="639"/>
      <c r="E16" s="639"/>
      <c r="F16" s="639"/>
      <c r="G16" s="639"/>
      <c r="H16" s="639"/>
      <c r="I16" s="639"/>
      <c r="J16" s="639"/>
      <c r="K16" s="639"/>
      <c r="L16" s="639"/>
      <c r="M16" s="639"/>
      <c r="N16" s="639"/>
      <c r="O16" s="639"/>
      <c r="P16" s="639"/>
      <c r="Q16" s="639"/>
      <c r="R16" s="639"/>
      <c r="S16" s="639"/>
      <c r="T16" s="79"/>
    </row>
    <row r="17" spans="1:20" ht="9.75" customHeight="1">
      <c r="A17" s="79"/>
      <c r="B17" s="640"/>
      <c r="C17" s="640"/>
      <c r="D17" s="640"/>
      <c r="E17" s="640"/>
      <c r="F17" s="640"/>
      <c r="G17" s="640"/>
      <c r="H17" s="640"/>
      <c r="I17" s="640"/>
      <c r="J17" s="640"/>
      <c r="K17" s="640"/>
      <c r="L17" s="640"/>
      <c r="M17" s="640"/>
      <c r="N17" s="640"/>
      <c r="O17" s="640"/>
      <c r="P17" s="640"/>
      <c r="Q17" s="640"/>
      <c r="R17" s="640"/>
      <c r="S17" s="640"/>
      <c r="T17" s="79"/>
    </row>
    <row r="18" spans="1:20" ht="21" customHeight="1">
      <c r="A18" s="79"/>
      <c r="B18" s="641" t="s">
        <v>24</v>
      </c>
      <c r="C18" s="641"/>
      <c r="D18" s="641"/>
      <c r="E18" s="641"/>
      <c r="F18" s="641"/>
      <c r="G18" s="641"/>
      <c r="H18" s="641"/>
      <c r="I18" s="641"/>
      <c r="J18" s="641"/>
      <c r="K18" s="595"/>
      <c r="L18" s="595"/>
      <c r="M18" s="79"/>
      <c r="N18" s="465"/>
      <c r="O18" s="465"/>
      <c r="P18" s="465"/>
      <c r="Q18" s="465" t="s">
        <v>215</v>
      </c>
      <c r="R18" s="644"/>
      <c r="S18" s="644"/>
      <c r="T18" s="79"/>
    </row>
    <row r="19" spans="1:20" ht="8.25" customHeight="1">
      <c r="A19" s="638"/>
      <c r="B19" s="638"/>
      <c r="C19" s="638"/>
      <c r="D19" s="638"/>
      <c r="E19" s="638"/>
      <c r="F19" s="638"/>
      <c r="G19" s="638"/>
      <c r="H19" s="638"/>
      <c r="I19" s="638"/>
      <c r="J19" s="638"/>
      <c r="K19" s="638"/>
      <c r="L19" s="638"/>
      <c r="M19" s="638"/>
      <c r="N19" s="638"/>
      <c r="O19" s="638"/>
      <c r="P19" s="638"/>
      <c r="Q19" s="638"/>
      <c r="R19" s="638"/>
      <c r="S19" s="638"/>
      <c r="T19" s="638"/>
    </row>
    <row r="20" spans="1:20" ht="21" customHeight="1">
      <c r="A20" s="79"/>
      <c r="B20" s="641" t="s">
        <v>91</v>
      </c>
      <c r="C20" s="641"/>
      <c r="D20" s="641"/>
      <c r="E20" s="641"/>
      <c r="F20" s="641"/>
      <c r="G20" s="641"/>
      <c r="H20" s="641"/>
      <c r="I20" s="595"/>
      <c r="J20" s="595"/>
      <c r="K20" s="83" t="s">
        <v>124</v>
      </c>
      <c r="L20" s="79"/>
      <c r="M20" s="79"/>
      <c r="N20" s="79"/>
      <c r="O20" s="79"/>
      <c r="P20" s="79"/>
      <c r="Q20" s="79"/>
      <c r="R20" s="79"/>
      <c r="S20" s="151">
        <f>config!F91</f>
        <v>1292.43</v>
      </c>
      <c r="T20" s="79"/>
    </row>
    <row r="21" spans="1:20">
      <c r="A21" s="79"/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8"/>
      <c r="P21" s="87"/>
      <c r="Q21" s="87"/>
      <c r="R21" s="87"/>
      <c r="S21" s="87"/>
      <c r="T21" s="79"/>
    </row>
    <row r="22" spans="1:20" ht="10.5" customHeight="1">
      <c r="A22" s="79"/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</row>
    <row r="23" spans="1:20" ht="22.5" customHeight="1">
      <c r="A23" s="79"/>
      <c r="B23" s="79"/>
      <c r="C23" s="79"/>
      <c r="D23" s="79"/>
      <c r="E23" s="594"/>
      <c r="F23" s="594"/>
      <c r="G23" s="594"/>
      <c r="H23" s="594"/>
      <c r="I23" s="594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</row>
    <row r="24" spans="1:20">
      <c r="A24" s="637" t="str">
        <f>Menu!A31</f>
        <v>Planilha+ 5.1.2   .:.   Acácio Jr Tecnol  .:.    Última atualização: 24/02/2017  -  único@acaciojunior.com</v>
      </c>
      <c r="B24" s="637"/>
      <c r="C24" s="637"/>
      <c r="D24" s="637"/>
      <c r="E24" s="637"/>
      <c r="F24" s="637"/>
      <c r="G24" s="637"/>
      <c r="H24" s="637"/>
      <c r="I24" s="637"/>
      <c r="J24" s="637"/>
      <c r="K24" s="637"/>
      <c r="L24" s="637"/>
      <c r="M24" s="637"/>
      <c r="N24" s="637"/>
      <c r="O24" s="637"/>
      <c r="P24" s="637"/>
      <c r="Q24" s="637"/>
      <c r="R24" s="637"/>
      <c r="S24" s="637"/>
      <c r="T24" s="637"/>
    </row>
  </sheetData>
  <sheetProtection password="C1FF" sheet="1" objects="1" scenarios="1" selectLockedCells="1"/>
  <mergeCells count="28">
    <mergeCell ref="I20:J20"/>
    <mergeCell ref="A9:T9"/>
    <mergeCell ref="J10:K10"/>
    <mergeCell ref="N1:S2"/>
    <mergeCell ref="N3:S3"/>
    <mergeCell ref="A5:T5"/>
    <mergeCell ref="A7:T7"/>
    <mergeCell ref="I8:K8"/>
    <mergeCell ref="L8:N8"/>
    <mergeCell ref="B6:L6"/>
    <mergeCell ref="M6:S6"/>
    <mergeCell ref="R18:S18"/>
    <mergeCell ref="A24:T24"/>
    <mergeCell ref="L10:N10"/>
    <mergeCell ref="A11:T11"/>
    <mergeCell ref="B16:S16"/>
    <mergeCell ref="B17:S17"/>
    <mergeCell ref="E23:I23"/>
    <mergeCell ref="B12:K12"/>
    <mergeCell ref="L12:M12"/>
    <mergeCell ref="I14:K14"/>
    <mergeCell ref="B18:J18"/>
    <mergeCell ref="B20:H20"/>
    <mergeCell ref="K18:L18"/>
    <mergeCell ref="A13:T13"/>
    <mergeCell ref="L14:Q14"/>
    <mergeCell ref="A15:T15"/>
    <mergeCell ref="A19:T19"/>
  </mergeCells>
  <conditionalFormatting sqref="L10:N10">
    <cfRule type="cellIs" dxfId="8" priority="6" stopIfTrue="1" operator="lessThan">
      <formula>$L$8</formula>
    </cfRule>
  </conditionalFormatting>
  <conditionalFormatting sqref="L12:M12">
    <cfRule type="cellIs" dxfId="7" priority="3" stopIfTrue="1" operator="lessThan">
      <formula>$R$12</formula>
    </cfRule>
  </conditionalFormatting>
  <conditionalFormatting sqref="A15:T15">
    <cfRule type="cellIs" dxfId="6" priority="2" stopIfTrue="1" operator="equal">
      <formula>"Datas não correspondem com o número de dias do contrato"</formula>
    </cfRule>
  </conditionalFormatting>
  <conditionalFormatting sqref="R12">
    <cfRule type="cellIs" dxfId="5" priority="1" stopIfTrue="1" operator="equal">
      <formula>0</formula>
    </cfRule>
  </conditionalFormatting>
  <dataValidations count="1">
    <dataValidation type="list" allowBlank="1" showInputMessage="1" showErrorMessage="1" errorTitle="Motivo do afastamento" error="Escolha uma das opções disponíveis" sqref="M6:S6">
      <formula1>$W$2:$W$3</formula1>
    </dataValidation>
  </dataValidations>
  <pageMargins left="0.15" right="0.21" top="0.78740157480314965" bottom="0.78740157480314965" header="0.31496062992125984" footer="0.31496062992125984"/>
  <pageSetup paperSize="9" scale="81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11</vt:i4>
      </vt:variant>
      <vt:variant>
        <vt:lpstr>Intervalos nomeados</vt:lpstr>
      </vt:variant>
      <vt:variant>
        <vt:i4>1</vt:i4>
      </vt:variant>
    </vt:vector>
  </HeadingPairs>
  <TitlesOfParts>
    <vt:vector size="12" baseType="lpstr">
      <vt:lpstr>Menu</vt:lpstr>
      <vt:lpstr>menu_exp</vt:lpstr>
      <vt:lpstr>Pro</vt:lpstr>
      <vt:lpstr>mascara</vt:lpstr>
      <vt:lpstr>calculo</vt:lpstr>
      <vt:lpstr>seg aut</vt:lpstr>
      <vt:lpstr>masc_termino</vt:lpstr>
      <vt:lpstr>termin_exp</vt:lpstr>
      <vt:lpstr>masc_exp2</vt:lpstr>
      <vt:lpstr>exp2</vt:lpstr>
      <vt:lpstr>config</vt:lpstr>
      <vt:lpstr>calculo!Area_de_impressao</vt:lpstr>
    </vt:vector>
  </TitlesOfParts>
  <Company>Acácio Jr Tecnol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Cálculo de Rescisão de Contrato de Trabalho</dc:title>
  <dc:subject>Rescisão de Contrato de Trabalho</dc:subject>
  <dc:creator>Acácio Júnior</dc:creator>
  <cp:keywords>Cálculo de Rescisão de Contrato de Trabalho</cp:keywords>
  <dc:description>(15) 9613 6264 / 3524 1185 / 3522 0726</dc:description>
  <cp:lastModifiedBy>user</cp:lastModifiedBy>
  <cp:lastPrinted>2013-01-17T17:53:17Z</cp:lastPrinted>
  <dcterms:created xsi:type="dcterms:W3CDTF">2008-03-17T18:39:22Z</dcterms:created>
  <dcterms:modified xsi:type="dcterms:W3CDTF">2017-04-25T12:20:43Z</dcterms:modified>
  <cp:category>Cálculos</cp:category>
</cp:coreProperties>
</file>